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uzana\Desktop\"/>
    </mc:Choice>
  </mc:AlternateContent>
  <xr:revisionPtr revIDLastSave="0" documentId="13_ncr:1_{CA1A55AA-A8E8-4C65-9312-BEF0F8EBF8EB}" xr6:coauthVersionLast="47" xr6:coauthVersionMax="47" xr10:uidLastSave="{00000000-0000-0000-0000-000000000000}"/>
  <bookViews>
    <workbookView xWindow="-120" yWindow="-120" windowWidth="20730" windowHeight="11160" activeTab="3" xr2:uid="{A7424573-E5A8-41DD-A0F2-8DC2407365E3}"/>
  </bookViews>
  <sheets>
    <sheet name="Stredné hodnoty" sheetId="1" r:id="rId1"/>
    <sheet name="Odvetvie" sheetId="9" r:id="rId2"/>
    <sheet name="Komparácia odvetvia a podniku" sheetId="8" r:id="rId3"/>
    <sheet name="Pavučinové grafy" sheetId="30" r:id="rId4"/>
    <sheet name="Súvaha" sheetId="3" r:id="rId5"/>
    <sheet name="VZaS" sheetId="5" r:id="rId6"/>
    <sheet name="Ukazovatele" sheetId="2" r:id="rId7"/>
    <sheet name="Pyramidálny rozklad" sheetId="7" r:id="rId8"/>
    <sheet name="PR 2021" sheetId="25" r:id="rId9"/>
    <sheet name="Simulácia VZaS" sheetId="29" r:id="rId10"/>
    <sheet name="PR - simulácia" sheetId="27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30" l="1"/>
  <c r="I41" i="30" s="1"/>
  <c r="D40" i="30"/>
  <c r="I40" i="30" s="1"/>
  <c r="D39" i="30"/>
  <c r="I39" i="30" s="1"/>
  <c r="D38" i="30"/>
  <c r="I38" i="30" s="1"/>
  <c r="D37" i="30"/>
  <c r="I37" i="30" s="1"/>
  <c r="D36" i="30"/>
  <c r="I36" i="30" s="1"/>
  <c r="D35" i="30"/>
  <c r="I35" i="30" s="1"/>
  <c r="D34" i="30"/>
  <c r="I34" i="30" s="1"/>
  <c r="D33" i="30"/>
  <c r="I33" i="30" s="1"/>
  <c r="D32" i="30"/>
  <c r="I32" i="30" s="1"/>
  <c r="D31" i="30"/>
  <c r="I31" i="30" s="1"/>
  <c r="D27" i="30"/>
  <c r="I27" i="30" s="1"/>
  <c r="D26" i="30"/>
  <c r="I26" i="30" s="1"/>
  <c r="D25" i="30"/>
  <c r="I25" i="30" s="1"/>
  <c r="D24" i="30"/>
  <c r="I24" i="30" s="1"/>
  <c r="D23" i="30"/>
  <c r="I23" i="30" s="1"/>
  <c r="D22" i="30"/>
  <c r="I22" i="30" s="1"/>
  <c r="D21" i="30"/>
  <c r="I21" i="30" s="1"/>
  <c r="D20" i="30"/>
  <c r="I20" i="30" s="1"/>
  <c r="D19" i="30"/>
  <c r="I19" i="30" s="1"/>
  <c r="D18" i="30"/>
  <c r="I18" i="30" s="1"/>
  <c r="D17" i="30"/>
  <c r="I17" i="30" s="1"/>
  <c r="D13" i="30"/>
  <c r="I13" i="30" s="1"/>
  <c r="D12" i="30"/>
  <c r="I12" i="30" s="1"/>
  <c r="D11" i="30"/>
  <c r="I11" i="30" s="1"/>
  <c r="D10" i="30"/>
  <c r="I10" i="30" s="1"/>
  <c r="D9" i="30"/>
  <c r="I9" i="30" s="1"/>
  <c r="D8" i="30"/>
  <c r="I8" i="30" s="1"/>
  <c r="D7" i="30"/>
  <c r="I7" i="30" s="1"/>
  <c r="D6" i="30"/>
  <c r="I6" i="30" s="1"/>
  <c r="D5" i="30"/>
  <c r="I5" i="30" s="1"/>
  <c r="D4" i="30"/>
  <c r="I4" i="30" s="1"/>
  <c r="D3" i="30"/>
  <c r="I3" i="30" s="1"/>
  <c r="J8" i="25"/>
  <c r="G13" i="7" l="1"/>
  <c r="H29" i="7"/>
  <c r="G29" i="7"/>
  <c r="F29" i="7"/>
  <c r="E29" i="7"/>
  <c r="E24" i="7"/>
  <c r="E25" i="7"/>
  <c r="E26" i="7"/>
  <c r="E27" i="7"/>
  <c r="E28" i="7"/>
  <c r="E23" i="7"/>
  <c r="G37" i="7"/>
  <c r="E37" i="7"/>
  <c r="L102" i="29"/>
  <c r="J29" i="29"/>
  <c r="J22" i="29"/>
  <c r="K8" i="29"/>
  <c r="J2" i="29"/>
  <c r="D27" i="27"/>
  <c r="D24" i="27"/>
  <c r="C22" i="27"/>
  <c r="B23" i="27"/>
  <c r="B24" i="27"/>
  <c r="B25" i="27"/>
  <c r="B26" i="27"/>
  <c r="B27" i="27"/>
  <c r="B22" i="27"/>
  <c r="D26" i="27"/>
  <c r="D25" i="27"/>
  <c r="D23" i="27"/>
  <c r="D22" i="27"/>
  <c r="D28" i="27"/>
  <c r="G30" i="27"/>
  <c r="G31" i="27"/>
  <c r="G32" i="27"/>
  <c r="G33" i="27"/>
  <c r="G34" i="27"/>
  <c r="G35" i="27"/>
  <c r="G29" i="27"/>
  <c r="D35" i="27"/>
  <c r="D34" i="27"/>
  <c r="D33" i="27"/>
  <c r="D32" i="27"/>
  <c r="D31" i="27"/>
  <c r="D30" i="27"/>
  <c r="D29" i="27"/>
  <c r="D31" i="25"/>
  <c r="D32" i="25"/>
  <c r="D33" i="25"/>
  <c r="D34" i="25"/>
  <c r="D35" i="25"/>
  <c r="D36" i="25"/>
  <c r="D30" i="25"/>
  <c r="C35" i="27"/>
  <c r="C34" i="27"/>
  <c r="C33" i="27"/>
  <c r="C32" i="27"/>
  <c r="C31" i="27"/>
  <c r="C30" i="27"/>
  <c r="C29" i="27"/>
  <c r="B35" i="27"/>
  <c r="B34" i="27"/>
  <c r="B33" i="27"/>
  <c r="B32" i="27"/>
  <c r="B31" i="27"/>
  <c r="B30" i="27"/>
  <c r="B29" i="27"/>
  <c r="E30" i="27"/>
  <c r="E31" i="27"/>
  <c r="E32" i="27"/>
  <c r="E33" i="27"/>
  <c r="E34" i="27"/>
  <c r="E35" i="27"/>
  <c r="E29" i="27"/>
  <c r="G23" i="27"/>
  <c r="G24" i="27"/>
  <c r="G25" i="27"/>
  <c r="G26" i="27"/>
  <c r="G27" i="27"/>
  <c r="G22" i="27"/>
  <c r="D20" i="27"/>
  <c r="G28" i="27"/>
  <c r="C23" i="27"/>
  <c r="C24" i="27"/>
  <c r="C25" i="27"/>
  <c r="C26" i="27"/>
  <c r="C27" i="27"/>
  <c r="C28" i="27"/>
  <c r="E23" i="27"/>
  <c r="E24" i="27"/>
  <c r="E25" i="27"/>
  <c r="E26" i="27"/>
  <c r="E27" i="27"/>
  <c r="E22" i="27"/>
  <c r="C20" i="27"/>
  <c r="E21" i="25"/>
  <c r="J10" i="27"/>
  <c r="I10" i="27"/>
  <c r="G20" i="27"/>
  <c r="E20" i="27"/>
  <c r="H18" i="27"/>
  <c r="H17" i="27"/>
  <c r="G18" i="27"/>
  <c r="G17" i="27"/>
  <c r="F18" i="27"/>
  <c r="F17" i="27"/>
  <c r="E18" i="27"/>
  <c r="E17" i="27"/>
  <c r="D18" i="27"/>
  <c r="D17" i="27"/>
  <c r="H15" i="27"/>
  <c r="H14" i="27"/>
  <c r="H13" i="27"/>
  <c r="G15" i="27"/>
  <c r="G14" i="27"/>
  <c r="G13" i="27"/>
  <c r="F15" i="27"/>
  <c r="F14" i="27"/>
  <c r="F13" i="27"/>
  <c r="E15" i="27"/>
  <c r="E14" i="27"/>
  <c r="E13" i="27"/>
  <c r="D15" i="27"/>
  <c r="D14" i="27"/>
  <c r="D13" i="27"/>
  <c r="H11" i="27"/>
  <c r="H10" i="27"/>
  <c r="H9" i="27"/>
  <c r="G11" i="27"/>
  <c r="G10" i="27"/>
  <c r="G9" i="27"/>
  <c r="F11" i="27"/>
  <c r="F10" i="27"/>
  <c r="F9" i="27"/>
  <c r="E11" i="27"/>
  <c r="E10" i="27"/>
  <c r="E9" i="27"/>
  <c r="D11" i="27"/>
  <c r="D10" i="27"/>
  <c r="D9" i="27"/>
  <c r="J7" i="27"/>
  <c r="J6" i="27"/>
  <c r="J5" i="27"/>
  <c r="I7" i="27"/>
  <c r="I6" i="27"/>
  <c r="I5" i="27"/>
  <c r="H7" i="27"/>
  <c r="H6" i="27"/>
  <c r="H5" i="27"/>
  <c r="G7" i="27"/>
  <c r="G6" i="27"/>
  <c r="G5" i="27"/>
  <c r="F7" i="27"/>
  <c r="F6" i="27"/>
  <c r="F5" i="27"/>
  <c r="E7" i="27"/>
  <c r="E6" i="27"/>
  <c r="E5" i="27"/>
  <c r="J6" i="29"/>
  <c r="E3" i="27"/>
  <c r="F3" i="27"/>
  <c r="C3" i="27"/>
  <c r="D3" i="27"/>
  <c r="H19" i="27"/>
  <c r="G19" i="27"/>
  <c r="F19" i="27"/>
  <c r="E19" i="27"/>
  <c r="H16" i="27"/>
  <c r="G16" i="27"/>
  <c r="F16" i="27"/>
  <c r="E16" i="27"/>
  <c r="H12" i="27"/>
  <c r="G12" i="27"/>
  <c r="F12" i="27"/>
  <c r="E12" i="27"/>
  <c r="H8" i="27"/>
  <c r="G8" i="27"/>
  <c r="F8" i="27"/>
  <c r="E8" i="27"/>
  <c r="K20" i="29"/>
  <c r="K19" i="29"/>
  <c r="K18" i="29"/>
  <c r="J3" i="29"/>
  <c r="G102" i="29"/>
  <c r="F102" i="29"/>
  <c r="H102" i="29" s="1"/>
  <c r="G101" i="29"/>
  <c r="F101" i="29"/>
  <c r="H101" i="29" s="1"/>
  <c r="G100" i="29"/>
  <c r="F100" i="29"/>
  <c r="H100" i="29" s="1"/>
  <c r="G99" i="29"/>
  <c r="F99" i="29"/>
  <c r="H99" i="29" s="1"/>
  <c r="G98" i="29"/>
  <c r="F98" i="29"/>
  <c r="H98" i="29" s="1"/>
  <c r="G97" i="29"/>
  <c r="F97" i="29"/>
  <c r="H97" i="29" s="1"/>
  <c r="J96" i="29"/>
  <c r="G96" i="29"/>
  <c r="F96" i="29"/>
  <c r="H96" i="29" s="1"/>
  <c r="J95" i="29"/>
  <c r="G95" i="29"/>
  <c r="F95" i="29"/>
  <c r="H95" i="29" s="1"/>
  <c r="J94" i="29"/>
  <c r="G94" i="29"/>
  <c r="F94" i="29"/>
  <c r="H94" i="29" s="1"/>
  <c r="J93" i="29"/>
  <c r="G93" i="29"/>
  <c r="F93" i="29"/>
  <c r="H93" i="29" s="1"/>
  <c r="J92" i="29"/>
  <c r="G92" i="29"/>
  <c r="F92" i="29"/>
  <c r="H92" i="29" s="1"/>
  <c r="J91" i="29"/>
  <c r="J97" i="29" s="1"/>
  <c r="G91" i="29"/>
  <c r="F91" i="29"/>
  <c r="H91" i="29" s="1"/>
  <c r="G90" i="29"/>
  <c r="F90" i="29"/>
  <c r="H90" i="29" s="1"/>
  <c r="G89" i="29"/>
  <c r="F89" i="29"/>
  <c r="H89" i="29" s="1"/>
  <c r="R88" i="29"/>
  <c r="Q88" i="29"/>
  <c r="J88" i="29"/>
  <c r="G88" i="29"/>
  <c r="F88" i="29"/>
  <c r="H88" i="29" s="1"/>
  <c r="Q87" i="29"/>
  <c r="G87" i="29"/>
  <c r="F87" i="29"/>
  <c r="H87" i="29" s="1"/>
  <c r="Q86" i="29"/>
  <c r="Q89" i="29" s="1"/>
  <c r="J86" i="29"/>
  <c r="G86" i="29"/>
  <c r="F86" i="29"/>
  <c r="H86" i="29" s="1"/>
  <c r="G85" i="29"/>
  <c r="F85" i="29"/>
  <c r="H85" i="29" s="1"/>
  <c r="S84" i="29"/>
  <c r="R84" i="29"/>
  <c r="Q84" i="29"/>
  <c r="J84" i="29"/>
  <c r="G84" i="29"/>
  <c r="F84" i="29"/>
  <c r="H84" i="29" s="1"/>
  <c r="Q83" i="29"/>
  <c r="G83" i="29"/>
  <c r="F83" i="29"/>
  <c r="H83" i="29" s="1"/>
  <c r="Q82" i="29"/>
  <c r="Q85" i="29" s="1"/>
  <c r="G82" i="29"/>
  <c r="F82" i="29"/>
  <c r="H82" i="29" s="1"/>
  <c r="J81" i="29"/>
  <c r="G81" i="29"/>
  <c r="F81" i="29"/>
  <c r="H81" i="29" s="1"/>
  <c r="Q80" i="29"/>
  <c r="J80" i="29"/>
  <c r="J79" i="29" s="1"/>
  <c r="G80" i="29"/>
  <c r="F80" i="29"/>
  <c r="H80" i="29" s="1"/>
  <c r="Q79" i="29"/>
  <c r="Q81" i="29" s="1"/>
  <c r="Q90" i="29" s="1"/>
  <c r="G79" i="29"/>
  <c r="F79" i="29"/>
  <c r="H79" i="29" s="1"/>
  <c r="G78" i="29"/>
  <c r="F78" i="29"/>
  <c r="H78" i="29" s="1"/>
  <c r="J77" i="29"/>
  <c r="G77" i="29"/>
  <c r="F77" i="29"/>
  <c r="H77" i="29" s="1"/>
  <c r="G76" i="29"/>
  <c r="F76" i="29"/>
  <c r="H76" i="29" s="1"/>
  <c r="G75" i="29"/>
  <c r="F75" i="29"/>
  <c r="H75" i="29" s="1"/>
  <c r="G74" i="29"/>
  <c r="F74" i="29"/>
  <c r="H74" i="29" s="1"/>
  <c r="J73" i="29"/>
  <c r="G73" i="29"/>
  <c r="F73" i="29"/>
  <c r="H73" i="29" s="1"/>
  <c r="J72" i="29"/>
  <c r="G72" i="29"/>
  <c r="F72" i="29"/>
  <c r="H72" i="29" s="1"/>
  <c r="G71" i="29"/>
  <c r="F71" i="29"/>
  <c r="H71" i="29" s="1"/>
  <c r="G70" i="29"/>
  <c r="F70" i="29"/>
  <c r="H70" i="29" s="1"/>
  <c r="G69" i="29"/>
  <c r="F69" i="29"/>
  <c r="H69" i="29" s="1"/>
  <c r="G68" i="29"/>
  <c r="F68" i="29"/>
  <c r="H68" i="29" s="1"/>
  <c r="G67" i="29"/>
  <c r="F67" i="29"/>
  <c r="H67" i="29" s="1"/>
  <c r="G66" i="29"/>
  <c r="F66" i="29"/>
  <c r="H66" i="29" s="1"/>
  <c r="H63" i="29"/>
  <c r="H62" i="29"/>
  <c r="H61" i="29"/>
  <c r="G60" i="29"/>
  <c r="F60" i="29"/>
  <c r="H60" i="29" s="1"/>
  <c r="G59" i="29"/>
  <c r="F59" i="29"/>
  <c r="H59" i="29" s="1"/>
  <c r="G58" i="29"/>
  <c r="F58" i="29"/>
  <c r="H58" i="29" s="1"/>
  <c r="J57" i="29"/>
  <c r="G57" i="29"/>
  <c r="F57" i="29"/>
  <c r="H57" i="29" s="1"/>
  <c r="J56" i="29"/>
  <c r="G56" i="29"/>
  <c r="F56" i="29"/>
  <c r="H56" i="29" s="1"/>
  <c r="G55" i="29"/>
  <c r="F55" i="29"/>
  <c r="H55" i="29" s="1"/>
  <c r="G54" i="29"/>
  <c r="F54" i="29"/>
  <c r="H54" i="29" s="1"/>
  <c r="G53" i="29"/>
  <c r="F53" i="29"/>
  <c r="H53" i="29" s="1"/>
  <c r="G52" i="29"/>
  <c r="F52" i="29"/>
  <c r="H52" i="29" s="1"/>
  <c r="G51" i="29"/>
  <c r="F51" i="29"/>
  <c r="H51" i="29" s="1"/>
  <c r="G50" i="29"/>
  <c r="F50" i="29"/>
  <c r="H50" i="29" s="1"/>
  <c r="J49" i="29"/>
  <c r="H49" i="29"/>
  <c r="G48" i="29"/>
  <c r="F48" i="29"/>
  <c r="H48" i="29" s="1"/>
  <c r="J47" i="29"/>
  <c r="G47" i="29"/>
  <c r="F47" i="29"/>
  <c r="H47" i="29" s="1"/>
  <c r="J46" i="29"/>
  <c r="G46" i="29"/>
  <c r="F46" i="29"/>
  <c r="H46" i="29" s="1"/>
  <c r="G45" i="29"/>
  <c r="F45" i="29"/>
  <c r="H45" i="29" s="1"/>
  <c r="G43" i="29"/>
  <c r="F43" i="29"/>
  <c r="H43" i="29" s="1"/>
  <c r="G42" i="29"/>
  <c r="F42" i="29"/>
  <c r="H42" i="29" s="1"/>
  <c r="K41" i="29"/>
  <c r="G41" i="29"/>
  <c r="F41" i="29"/>
  <c r="H41" i="29" s="1"/>
  <c r="H40" i="29"/>
  <c r="H39" i="29"/>
  <c r="J38" i="29"/>
  <c r="G38" i="29"/>
  <c r="F38" i="29"/>
  <c r="H38" i="29" s="1"/>
  <c r="J37" i="29"/>
  <c r="G37" i="29"/>
  <c r="F37" i="29"/>
  <c r="H37" i="29" s="1"/>
  <c r="G36" i="29"/>
  <c r="F36" i="29"/>
  <c r="H36" i="29" s="1"/>
  <c r="G35" i="29"/>
  <c r="F35" i="29"/>
  <c r="H35" i="29" s="1"/>
  <c r="J32" i="29"/>
  <c r="G32" i="29"/>
  <c r="F32" i="29"/>
  <c r="H32" i="29" s="1"/>
  <c r="G31" i="29"/>
  <c r="F31" i="29"/>
  <c r="H31" i="29" s="1"/>
  <c r="J30" i="29"/>
  <c r="G30" i="29"/>
  <c r="F30" i="29"/>
  <c r="H30" i="29" s="1"/>
  <c r="G29" i="29"/>
  <c r="F29" i="29"/>
  <c r="H29" i="29" s="1"/>
  <c r="G28" i="29"/>
  <c r="F28" i="29"/>
  <c r="H28" i="29" s="1"/>
  <c r="H27" i="29"/>
  <c r="G26" i="29"/>
  <c r="F26" i="29"/>
  <c r="H26" i="29" s="1"/>
  <c r="F25" i="29"/>
  <c r="H25" i="29" s="1"/>
  <c r="G24" i="29"/>
  <c r="F24" i="29"/>
  <c r="H24" i="29" s="1"/>
  <c r="G23" i="29"/>
  <c r="F23" i="29"/>
  <c r="H23" i="29" s="1"/>
  <c r="G22" i="29"/>
  <c r="F22" i="29"/>
  <c r="H22" i="29" s="1"/>
  <c r="G21" i="29"/>
  <c r="F21" i="29"/>
  <c r="H21" i="29" s="1"/>
  <c r="G19" i="29"/>
  <c r="F19" i="29"/>
  <c r="H19" i="29" s="1"/>
  <c r="G18" i="29"/>
  <c r="F18" i="29"/>
  <c r="H18" i="29" s="1"/>
  <c r="K17" i="29"/>
  <c r="G17" i="29"/>
  <c r="F17" i="29"/>
  <c r="H17" i="29" s="1"/>
  <c r="K16" i="29"/>
  <c r="G16" i="29"/>
  <c r="F16" i="29"/>
  <c r="H16" i="29" s="1"/>
  <c r="K15" i="29"/>
  <c r="G15" i="29"/>
  <c r="F15" i="29"/>
  <c r="H15" i="29" s="1"/>
  <c r="K14" i="29"/>
  <c r="G14" i="29"/>
  <c r="F14" i="29"/>
  <c r="H14" i="29" s="1"/>
  <c r="G13" i="29"/>
  <c r="F13" i="29"/>
  <c r="H13" i="29" s="1"/>
  <c r="G12" i="29"/>
  <c r="F12" i="29"/>
  <c r="H12" i="29" s="1"/>
  <c r="F11" i="29"/>
  <c r="H11" i="29" s="1"/>
  <c r="G10" i="29"/>
  <c r="F10" i="29"/>
  <c r="H10" i="29" s="1"/>
  <c r="K9" i="29"/>
  <c r="G9" i="29"/>
  <c r="F9" i="29"/>
  <c r="H9" i="29" s="1"/>
  <c r="G8" i="29"/>
  <c r="F8" i="29"/>
  <c r="H8" i="29" s="1"/>
  <c r="H7" i="29"/>
  <c r="G6" i="29"/>
  <c r="F6" i="29"/>
  <c r="H6" i="29" s="1"/>
  <c r="G5" i="29"/>
  <c r="F5" i="29"/>
  <c r="H5" i="29" s="1"/>
  <c r="G4" i="29"/>
  <c r="F4" i="29"/>
  <c r="H4" i="29" s="1"/>
  <c r="G3" i="29"/>
  <c r="F3" i="29"/>
  <c r="H3" i="29" s="1"/>
  <c r="G2" i="29"/>
  <c r="F2" i="29"/>
  <c r="H2" i="29" s="1"/>
  <c r="H22" i="27" l="1"/>
  <c r="E28" i="27"/>
  <c r="F22" i="27"/>
  <c r="F23" i="27"/>
  <c r="F24" i="27"/>
  <c r="F25" i="27"/>
  <c r="F26" i="27"/>
  <c r="F27" i="27"/>
  <c r="G36" i="27"/>
  <c r="H29" i="27"/>
  <c r="E36" i="27"/>
  <c r="F29" i="27"/>
  <c r="H30" i="27"/>
  <c r="F30" i="27"/>
  <c r="H31" i="27"/>
  <c r="F31" i="27"/>
  <c r="H32" i="27"/>
  <c r="F32" i="27"/>
  <c r="H33" i="27"/>
  <c r="F33" i="27"/>
  <c r="H34" i="27"/>
  <c r="F34" i="27"/>
  <c r="H35" i="27"/>
  <c r="F35" i="27"/>
  <c r="J28" i="29"/>
  <c r="J53" i="29"/>
  <c r="J54" i="29"/>
  <c r="J55" i="29"/>
  <c r="J7" i="29"/>
  <c r="K10" i="29"/>
  <c r="J18" i="29"/>
  <c r="J48" i="29"/>
  <c r="J58" i="29"/>
  <c r="R79" i="29"/>
  <c r="J68" i="29"/>
  <c r="R82" i="29"/>
  <c r="J69" i="29"/>
  <c r="R83" i="29"/>
  <c r="J70" i="29"/>
  <c r="R80" i="29"/>
  <c r="J75" i="29"/>
  <c r="R86" i="29"/>
  <c r="J76" i="29"/>
  <c r="S88" i="29"/>
  <c r="R87" i="29"/>
  <c r="J78" i="29"/>
  <c r="J85" i="29"/>
  <c r="F36" i="27" l="1"/>
  <c r="H36" i="27"/>
  <c r="F28" i="27"/>
  <c r="J66" i="29"/>
  <c r="K7" i="29"/>
  <c r="N4" i="29"/>
  <c r="N36" i="29"/>
  <c r="J59" i="29"/>
  <c r="J45" i="29"/>
  <c r="J43" i="29" s="1"/>
  <c r="S87" i="29"/>
  <c r="S86" i="29"/>
  <c r="S89" i="29" s="1"/>
  <c r="R89" i="29"/>
  <c r="S80" i="29"/>
  <c r="J74" i="29"/>
  <c r="S83" i="29"/>
  <c r="S82" i="29"/>
  <c r="S85" i="29" s="1"/>
  <c r="R85" i="29"/>
  <c r="S79" i="29"/>
  <c r="S81" i="29" s="1"/>
  <c r="S90" i="29" s="1"/>
  <c r="J90" i="29" s="1"/>
  <c r="J67" i="29"/>
  <c r="J89" i="29" s="1"/>
  <c r="J98" i="29" s="1"/>
  <c r="R81" i="29"/>
  <c r="R90" i="29" s="1"/>
  <c r="J60" i="29"/>
  <c r="J19" i="29"/>
  <c r="J11" i="29"/>
  <c r="H23" i="27" l="1"/>
  <c r="H24" i="27"/>
  <c r="H25" i="27"/>
  <c r="H26" i="27"/>
  <c r="H27" i="27"/>
  <c r="N40" i="29"/>
  <c r="N38" i="29"/>
  <c r="N6" i="29"/>
  <c r="N8" i="29"/>
  <c r="N10" i="29"/>
  <c r="J24" i="29" s="1"/>
  <c r="O36" i="29"/>
  <c r="O4" i="29"/>
  <c r="J99" i="29"/>
  <c r="H28" i="27" l="1"/>
  <c r="J100" i="29"/>
  <c r="J102" i="29"/>
  <c r="J41" i="29" s="1"/>
  <c r="J36" i="29" s="1"/>
  <c r="O10" i="29"/>
  <c r="J23" i="29" s="1"/>
  <c r="O8" i="29"/>
  <c r="J21" i="29" s="1"/>
  <c r="O6" i="29"/>
  <c r="J13" i="29" s="1"/>
  <c r="O40" i="29"/>
  <c r="J51" i="29" s="1"/>
  <c r="J52" i="29" s="1"/>
  <c r="O38" i="29"/>
  <c r="J50" i="29" s="1"/>
  <c r="J42" i="29" l="1"/>
  <c r="J16" i="29"/>
  <c r="J15" i="29"/>
  <c r="J14" i="29"/>
  <c r="J17" i="29" s="1"/>
  <c r="J25" i="29"/>
  <c r="J35" i="29"/>
  <c r="J31" i="29" l="1"/>
  <c r="J12" i="29"/>
  <c r="E6" i="2" l="1"/>
  <c r="G31" i="7"/>
  <c r="C31" i="7"/>
  <c r="F37" i="25"/>
  <c r="F36" i="25"/>
  <c r="F35" i="25"/>
  <c r="F34" i="25"/>
  <c r="E34" i="25"/>
  <c r="E37" i="25"/>
  <c r="E31" i="25"/>
  <c r="E32" i="25"/>
  <c r="E33" i="25"/>
  <c r="E35" i="25"/>
  <c r="E36" i="25"/>
  <c r="E30" i="25"/>
  <c r="G36" i="25"/>
  <c r="G35" i="25"/>
  <c r="G34" i="25"/>
  <c r="G33" i="25"/>
  <c r="G32" i="25"/>
  <c r="G30" i="25"/>
  <c r="H29" i="25"/>
  <c r="H28" i="25"/>
  <c r="H27" i="25"/>
  <c r="H26" i="25"/>
  <c r="H25" i="25"/>
  <c r="H24" i="25"/>
  <c r="H23" i="25"/>
  <c r="D28" i="25"/>
  <c r="D27" i="25"/>
  <c r="D26" i="25"/>
  <c r="D25" i="25"/>
  <c r="D24" i="25"/>
  <c r="D23" i="25"/>
  <c r="D29" i="25"/>
  <c r="G24" i="25"/>
  <c r="G25" i="25"/>
  <c r="G26" i="25"/>
  <c r="G27" i="25"/>
  <c r="G28" i="25"/>
  <c r="G23" i="25"/>
  <c r="G29" i="25" s="1"/>
  <c r="F29" i="25"/>
  <c r="F28" i="25"/>
  <c r="F27" i="25"/>
  <c r="F26" i="25"/>
  <c r="F25" i="25"/>
  <c r="F24" i="25"/>
  <c r="F23" i="25"/>
  <c r="E25" i="25"/>
  <c r="E29" i="25"/>
  <c r="E24" i="25"/>
  <c r="E26" i="25"/>
  <c r="E27" i="25"/>
  <c r="E28" i="25"/>
  <c r="E23" i="25"/>
  <c r="G21" i="25"/>
  <c r="D21" i="25"/>
  <c r="H20" i="25"/>
  <c r="G20" i="25"/>
  <c r="F20" i="25"/>
  <c r="E20" i="25"/>
  <c r="J11" i="25"/>
  <c r="I11" i="25"/>
  <c r="H17" i="25"/>
  <c r="G17" i="25"/>
  <c r="F17" i="25"/>
  <c r="E17" i="25"/>
  <c r="H13" i="25"/>
  <c r="G13" i="25"/>
  <c r="F13" i="25"/>
  <c r="E13" i="25"/>
  <c r="I6" i="25"/>
  <c r="F4" i="25"/>
  <c r="J7" i="25"/>
  <c r="J6" i="25"/>
  <c r="I8" i="25"/>
  <c r="I7" i="25"/>
  <c r="D4" i="25"/>
  <c r="E4" i="25"/>
  <c r="G9" i="25"/>
  <c r="E9" i="25"/>
  <c r="H9" i="25"/>
  <c r="F9" i="25"/>
  <c r="D31" i="7" l="1"/>
  <c r="G31" i="25"/>
  <c r="F33" i="25"/>
  <c r="F32" i="25"/>
  <c r="F31" i="25"/>
  <c r="F30" i="25"/>
  <c r="G37" i="25" l="1"/>
  <c r="D28" i="8"/>
  <c r="D27" i="8"/>
  <c r="D26" i="8"/>
  <c r="D25" i="8"/>
  <c r="D24" i="8"/>
  <c r="D23" i="8"/>
  <c r="D22" i="8"/>
  <c r="D21" i="8"/>
  <c r="D20" i="8"/>
  <c r="D19" i="8"/>
  <c r="D18" i="8"/>
  <c r="D17" i="8"/>
  <c r="L13" i="8"/>
  <c r="L12" i="8"/>
  <c r="L11" i="8"/>
  <c r="L10" i="8"/>
  <c r="L9" i="8"/>
  <c r="L8" i="8"/>
  <c r="L7" i="8"/>
  <c r="L6" i="8"/>
  <c r="L5" i="8"/>
  <c r="L4" i="8"/>
  <c r="L3" i="8"/>
  <c r="L2" i="8"/>
  <c r="D13" i="8"/>
  <c r="D12" i="8"/>
  <c r="D11" i="8"/>
  <c r="D10" i="8"/>
  <c r="D9" i="8"/>
  <c r="D8" i="8"/>
  <c r="D7" i="8"/>
  <c r="D6" i="8"/>
  <c r="D5" i="8"/>
  <c r="D4" i="8"/>
  <c r="D3" i="8"/>
  <c r="D2" i="8"/>
  <c r="H30" i="25" l="1"/>
  <c r="H32" i="25"/>
  <c r="H33" i="25"/>
  <c r="H34" i="25"/>
  <c r="H35" i="25"/>
  <c r="H36" i="25"/>
  <c r="H31" i="25"/>
  <c r="H37" i="25" l="1"/>
</calcChain>
</file>

<file path=xl/sharedStrings.xml><?xml version="1.0" encoding="utf-8"?>
<sst xmlns="http://schemas.openxmlformats.org/spreadsheetml/2006/main" count="760" uniqueCount="375">
  <si>
    <t>Rentabilita vlastného imania</t>
  </si>
  <si>
    <t>Rentabilita aktív - hrubá</t>
  </si>
  <si>
    <t>Podiel novovytvorenej hodnoty v tržbách</t>
  </si>
  <si>
    <t>Prevádzková rentabilita tržieb</t>
  </si>
  <si>
    <t>D</t>
  </si>
  <si>
    <t>E</t>
  </si>
  <si>
    <t>L</t>
  </si>
  <si>
    <t>K</t>
  </si>
  <si>
    <t>Vysvetlivky</t>
  </si>
  <si>
    <t>Rok</t>
  </si>
  <si>
    <t>Ukazovatele</t>
  </si>
  <si>
    <t>Aktíva</t>
  </si>
  <si>
    <t xml:space="preserve">SPOLU MAJETOK </t>
  </si>
  <si>
    <t xml:space="preserve">Neobežný majetok </t>
  </si>
  <si>
    <t xml:space="preserve">Dlhodobý nehmotný majetok súčet </t>
  </si>
  <si>
    <t xml:space="preserve">Aktivované náklady na vývoj </t>
  </si>
  <si>
    <t xml:space="preserve">Softvér </t>
  </si>
  <si>
    <t xml:space="preserve">Oceniteľné práva </t>
  </si>
  <si>
    <t xml:space="preserve">Goodwill </t>
  </si>
  <si>
    <t xml:space="preserve">Ostatný dlhodobý nehmotný majetok </t>
  </si>
  <si>
    <t xml:space="preserve">Obstarávaný dlhodobý nehmotný majetok </t>
  </si>
  <si>
    <t>Poskytnuté preddavky na dlhodobý nehmotný majetok</t>
  </si>
  <si>
    <t xml:space="preserve">Dlhodobý hmotný majetok súčet </t>
  </si>
  <si>
    <t xml:space="preserve">Pozemky </t>
  </si>
  <si>
    <t xml:space="preserve">Stavby </t>
  </si>
  <si>
    <t xml:space="preserve">Samostatné hnuteľné veci a súbory hnuteľných vecí </t>
  </si>
  <si>
    <t xml:space="preserve">Pestovateľské celky trvalých porastov </t>
  </si>
  <si>
    <t xml:space="preserve">Základné stádo a ťažné zvieratá </t>
  </si>
  <si>
    <t xml:space="preserve">Ostatný dlhodobý hmotný majetok </t>
  </si>
  <si>
    <t xml:space="preserve">Obstarávaný dlhodobý hmotný majetok </t>
  </si>
  <si>
    <t>Poskytnuté preddavky na dlhodobý hmotný majetok</t>
  </si>
  <si>
    <t>Opravná položka k nadobudnutému majetku</t>
  </si>
  <si>
    <t xml:space="preserve">Dlhodobý finančný majetok súčet </t>
  </si>
  <si>
    <t xml:space="preserve">Podielové cenné papiere a podiely v prepojených účtovných jednotkách </t>
  </si>
  <si>
    <t xml:space="preserve">Podielové cenné papiere a podiely s podielovou účasťou okrem v prepojených účtovných jednotkách </t>
  </si>
  <si>
    <t xml:space="preserve">Ostatné realizovateľné cenné papiere a podiely </t>
  </si>
  <si>
    <t xml:space="preserve">Pôžičky prepojeným účtovným jednotkám </t>
  </si>
  <si>
    <t xml:space="preserve">Pôžičky v rámci podielovej účasti okrem prepojeným účtovným jednotkám </t>
  </si>
  <si>
    <t xml:space="preserve">Ostatné pôžičky </t>
  </si>
  <si>
    <t xml:space="preserve">Dlhové cenné papiere a ostatný dlhodobý finančný majetok </t>
  </si>
  <si>
    <t xml:space="preserve">Pôžičky a ostatný dlhodobý finančný majetok so zostatkovou dobou splatnosti najviac jeden rok </t>
  </si>
  <si>
    <t xml:space="preserve">Účty v bankách s dobou viazanosti dlhšou ako jeden rok </t>
  </si>
  <si>
    <t xml:space="preserve">Obstarávaný dlhodobý finančný majetok </t>
  </si>
  <si>
    <t xml:space="preserve">Poskytnuté preddavky na dlhodobý finančný majetok </t>
  </si>
  <si>
    <t xml:space="preserve">Obežný majetok </t>
  </si>
  <si>
    <t xml:space="preserve">Zásoby súčet </t>
  </si>
  <si>
    <t xml:space="preserve">Materiál </t>
  </si>
  <si>
    <t>Nedokončená výroba a polotovary vlastnej výroby</t>
  </si>
  <si>
    <t>Výrobky</t>
  </si>
  <si>
    <t xml:space="preserve">Zvieratá </t>
  </si>
  <si>
    <t xml:space="preserve">Tovar </t>
  </si>
  <si>
    <t>Poskytnuté preddavky na zásoby</t>
  </si>
  <si>
    <t>Dlhodobé pohľadávky súčet</t>
  </si>
  <si>
    <t>Pohľadávky z obchodného styku súčet</t>
  </si>
  <si>
    <t>Pohľadávky z obchodného styku voči prepojeným účtovným jednotkám</t>
  </si>
  <si>
    <t xml:space="preserve">Pohľadávky z obchodného styku v rámci podielovej účasti okrem pohľadávok voči prepojeným účtovným jednotkám </t>
  </si>
  <si>
    <t xml:space="preserve">Ostatné pohľadávky z obchodného styku </t>
  </si>
  <si>
    <t xml:space="preserve">Čistá hodnota zákazky </t>
  </si>
  <si>
    <t xml:space="preserve">Ostatné pohľadávky voči prepojeným účtovným jednotkám </t>
  </si>
  <si>
    <t>Ostatné pohľadávky v rámci podielovej účasti okrem pohľadávok voči prepojeným účtovným jednotkám</t>
  </si>
  <si>
    <t>Pohľadávky voči spoločníkom, členom a združeniu</t>
  </si>
  <si>
    <t xml:space="preserve">Pohľadávky z derivátových operácií </t>
  </si>
  <si>
    <t xml:space="preserve">Iné pohľadávky </t>
  </si>
  <si>
    <t>Odložená daňová pohľadávka</t>
  </si>
  <si>
    <t xml:space="preserve">Krátkodobé pohľadávky súčet </t>
  </si>
  <si>
    <t xml:space="preserve">Pohľadávky z obchodného styku súčet </t>
  </si>
  <si>
    <t xml:space="preserve">Pohľadávky z obchodného styku voči prepojeným účtovným jednotkám </t>
  </si>
  <si>
    <t>Čistá hodnota zákazky</t>
  </si>
  <si>
    <t xml:space="preserve">Ostatné pohľadávky v rámci podielovej účasti okrem pohľadávok voči prepojeným účtovným jednotkám </t>
  </si>
  <si>
    <t xml:space="preserve">Sociálne poistenie </t>
  </si>
  <si>
    <t xml:space="preserve">Daňové pohľadávky a dotácie </t>
  </si>
  <si>
    <t>Pohľadávky z derivátových operácií</t>
  </si>
  <si>
    <t>Iné pohľadávky</t>
  </si>
  <si>
    <t>Krátkodobý finančný majetok súčet</t>
  </si>
  <si>
    <t xml:space="preserve">Krátkodobý finančný majetok v prepojených účtovných jednotkách </t>
  </si>
  <si>
    <t xml:space="preserve">Krátkodobý finančný majetok bez krátkodobého finančného majetku v prepojených účtovných jednotkách </t>
  </si>
  <si>
    <t xml:space="preserve">Vlastné akcie a vlastné obchodné podiely </t>
  </si>
  <si>
    <t xml:space="preserve">Obstarávaný krátkodobý finančný majetok </t>
  </si>
  <si>
    <t xml:space="preserve">Finančné účty </t>
  </si>
  <si>
    <t>Peniaze</t>
  </si>
  <si>
    <t xml:space="preserve">Účty v bankách </t>
  </si>
  <si>
    <t xml:space="preserve">Časové rozlíšenie súčet </t>
  </si>
  <si>
    <t>Náklady budúcich období dlhodobé</t>
  </si>
  <si>
    <t xml:space="preserve">Náklady budúcich období krátkodobé </t>
  </si>
  <si>
    <t>Príjmy budúcich období dlhodobé</t>
  </si>
  <si>
    <t xml:space="preserve">Príjmy budúcich období krátkodobé </t>
  </si>
  <si>
    <t>Pasíva</t>
  </si>
  <si>
    <t>SPOLU VLASTNÉ IMANIE A ZÁVÄZKY</t>
  </si>
  <si>
    <t xml:space="preserve">Vlastné imanie </t>
  </si>
  <si>
    <t xml:space="preserve">Základné imanie súčet </t>
  </si>
  <si>
    <t xml:space="preserve">Základné imanie </t>
  </si>
  <si>
    <t xml:space="preserve">Zmena základného imania </t>
  </si>
  <si>
    <t xml:space="preserve">Pohľadávky za upísané vlastné imanie </t>
  </si>
  <si>
    <t xml:space="preserve">Emisné ážio </t>
  </si>
  <si>
    <t xml:space="preserve">Ostatné kapitálové fondy </t>
  </si>
  <si>
    <t>Zákonné rezervné fondy</t>
  </si>
  <si>
    <t xml:space="preserve">Zákonný rezervný fond a nedeliteľný fond </t>
  </si>
  <si>
    <t xml:space="preserve">Rezervný fond na vlastné akcie a vlastné podiely </t>
  </si>
  <si>
    <t xml:space="preserve">Ostatné fondy zo zisku </t>
  </si>
  <si>
    <t>Štatutárne fondy</t>
  </si>
  <si>
    <t xml:space="preserve">Ostatné fondy </t>
  </si>
  <si>
    <t xml:space="preserve">Oceňovacie rozdiely z precenenia súčet </t>
  </si>
  <si>
    <t>Oceňovacie rozdiely z precenenia majetku a záväzkov</t>
  </si>
  <si>
    <t xml:space="preserve">Oceňovacie rozdiely z kapitálových účastín </t>
  </si>
  <si>
    <t xml:space="preserve">Oceňovacie rozdiely z precenenia pri zlúčení, splynutí a rozdelení </t>
  </si>
  <si>
    <t xml:space="preserve">Výsledok hospodárenia minulých rokov </t>
  </si>
  <si>
    <t xml:space="preserve">Nerozdelený zisk minulých rokov </t>
  </si>
  <si>
    <t xml:space="preserve">Neuhradená strata minulých rokov </t>
  </si>
  <si>
    <t xml:space="preserve">Výsledok hospodárenia za účtovné obdobie po zdanení </t>
  </si>
  <si>
    <t xml:space="preserve">Záväzky </t>
  </si>
  <si>
    <t xml:space="preserve">Dlhodobé záväzky súčet </t>
  </si>
  <si>
    <t xml:space="preserve">Dlhodobé záväzky z obchodného styku súčet </t>
  </si>
  <si>
    <t xml:space="preserve">Záväzky z obchodného styku voči prepojeným účtovným jednotkám </t>
  </si>
  <si>
    <t xml:space="preserve">Záväzky z obchodného styku v rámci podielovej účasti okrem záväzkov voči prepojeným účtovným jednotkám </t>
  </si>
  <si>
    <t xml:space="preserve">Ostatné záväzky z obchodného styku </t>
  </si>
  <si>
    <t xml:space="preserve">Ostatné záväzky voči prepojeným účtovným jednotkám </t>
  </si>
  <si>
    <t xml:space="preserve">Ostatné záväzky v rámci podielovej účasti okrem záväzkov voči prepojeným účtovným jednotkám </t>
  </si>
  <si>
    <t xml:space="preserve">Ostatné dlhodobé záväzky </t>
  </si>
  <si>
    <t xml:space="preserve">Dlhodobé prijaté preddavky </t>
  </si>
  <si>
    <t>Dlhodobé zmenky na úhradu</t>
  </si>
  <si>
    <t xml:space="preserve">Vydané dlhopisy </t>
  </si>
  <si>
    <t xml:space="preserve">Záväzky zo sociálneho fondu </t>
  </si>
  <si>
    <t xml:space="preserve">Iné dlhodobé záväzky </t>
  </si>
  <si>
    <t xml:space="preserve">Dlhodobé záväzky z derivátových operácií </t>
  </si>
  <si>
    <t xml:space="preserve">Odložený daňový záväzok </t>
  </si>
  <si>
    <t xml:space="preserve">Dlhodobé rezervy </t>
  </si>
  <si>
    <t xml:space="preserve">Zákonné rezervy </t>
  </si>
  <si>
    <t>Ostatné rezervy</t>
  </si>
  <si>
    <t>Dlhodobé bankové úvery</t>
  </si>
  <si>
    <t>Krátkodobé záväzky súčet</t>
  </si>
  <si>
    <t>Záväzky z obchodného styku súčet</t>
  </si>
  <si>
    <t>Záväzky z obchodného styku v rámci podielovej účasti okrem záväzkov voči prepojeným účtovným jednotkám</t>
  </si>
  <si>
    <t>Ostatné záväzky voči prepojeným účtovným jednotkám (361A, 36XA, 471A, 47XA)</t>
  </si>
  <si>
    <t>Záväzky voči spoločníkom a združeniu</t>
  </si>
  <si>
    <t xml:space="preserve">Záväzky voči zamestnancom </t>
  </si>
  <si>
    <t>Záväzky zo sociálneho poistenia</t>
  </si>
  <si>
    <t>Daňové záväzky a dotácie</t>
  </si>
  <si>
    <t xml:space="preserve">Záväzky z derivátových operácií </t>
  </si>
  <si>
    <t>Iné záväzky</t>
  </si>
  <si>
    <t xml:space="preserve">Krátkodobé rezervy </t>
  </si>
  <si>
    <t>Zákonné rezervy</t>
  </si>
  <si>
    <t xml:space="preserve">Ostatné rezervy </t>
  </si>
  <si>
    <t>Bežné bankové úvery (221A, 231, 232, 23X, 461A, 46XA)</t>
  </si>
  <si>
    <t>Krátkodobé finančné výpomoci (241, 249, 24X, 473A, /-/255A)</t>
  </si>
  <si>
    <t>Výdavky budúcich období dlhodobé</t>
  </si>
  <si>
    <t>Výdavky budúcich období kratkodobé</t>
  </si>
  <si>
    <t xml:space="preserve">Výnosy budúcich období dlhodobé </t>
  </si>
  <si>
    <t xml:space="preserve">Výnosy budúcich období krátkodobé </t>
  </si>
  <si>
    <t>VZaS</t>
  </si>
  <si>
    <t xml:space="preserve">Čistý obrat </t>
  </si>
  <si>
    <t xml:space="preserve">Výnosy z hospodárskej činnosti spolu súčet </t>
  </si>
  <si>
    <t>Tržby z predaja tovaru</t>
  </si>
  <si>
    <t>Tržby z predaja vlastných výrobkov</t>
  </si>
  <si>
    <t xml:space="preserve">Tržby z predaja služieb </t>
  </si>
  <si>
    <t>Zmeny stavu vnútroorganizačných zásob</t>
  </si>
  <si>
    <t xml:space="preserve">Aktivácia </t>
  </si>
  <si>
    <t xml:space="preserve">Tržby z predaja dlhodobého nehmotného majetku, dlhodobého hmotného majetku a materiálu </t>
  </si>
  <si>
    <t xml:space="preserve">Ostatné výnosy z hospodárskej činnosti </t>
  </si>
  <si>
    <t xml:space="preserve">Náklady na hospodársku činnosť spolu </t>
  </si>
  <si>
    <t xml:space="preserve">Náklady vynaložené na obstaranie predaného tovaru </t>
  </si>
  <si>
    <t xml:space="preserve">Spotreba materiálu, energie a ostatných neskladovateľných dodávok </t>
  </si>
  <si>
    <t>Opravné položky k zásobám</t>
  </si>
  <si>
    <t>Služby</t>
  </si>
  <si>
    <t>Osobné náklady (r. 16 až r. 19)</t>
  </si>
  <si>
    <t xml:space="preserve">Mzdové náklady </t>
  </si>
  <si>
    <t xml:space="preserve">Odmeny členom orgánov spoločnosti a družstva </t>
  </si>
  <si>
    <t xml:space="preserve">Náklady na sociálne poistenie </t>
  </si>
  <si>
    <t>Sociálne náklady (527, 528)</t>
  </si>
  <si>
    <t xml:space="preserve">Dane a poplatky </t>
  </si>
  <si>
    <t>Odpisy a opravné položky k dlhodobému nehmotnému majetku a dlhodobému hmotnému majetku (r. 22 + r. 23)</t>
  </si>
  <si>
    <t>Odpisy dlhodobého nehmotného majetku a dlhodobého hmotného majetku</t>
  </si>
  <si>
    <t>Opravné položky k dlhodobému nehmotnému majetku a dlhodobému hmotnému majetku (+/-) (553)</t>
  </si>
  <si>
    <t>Zostatková cena predaného dlhodobého majetku a predaného materiálu (541, 542)</t>
  </si>
  <si>
    <t xml:space="preserve">Opravné položky k pohľadávkam </t>
  </si>
  <si>
    <t xml:space="preserve">Ostatné náklady na hospodársku činnosť </t>
  </si>
  <si>
    <t>Výsledok hospodárenia z hospodárskej činnosti</t>
  </si>
  <si>
    <t>Pridaná hodnota</t>
  </si>
  <si>
    <t xml:space="preserve">Výnosy z finančnej činnosti spolu </t>
  </si>
  <si>
    <t xml:space="preserve">Tržby z predaja cenných papierov a podielov </t>
  </si>
  <si>
    <t xml:space="preserve">Výnosy z dlhodobého finančného majetku súčet </t>
  </si>
  <si>
    <t>Výnosy z cenných papierov a podielov od prepojených účtovných jednotiek</t>
  </si>
  <si>
    <t>Výnosy z cenných papierov a podielov v podielovej účasti okrem výnosov prepojených účtovných jednotiek</t>
  </si>
  <si>
    <t xml:space="preserve">Ostatné výnosy z cenných papierov a podielov </t>
  </si>
  <si>
    <t xml:space="preserve">Výnosy z krátkodobého finančného majetku súčet </t>
  </si>
  <si>
    <t xml:space="preserve">Výnosy z krátkodobého finančného majetku od prepojených účtovných jednotiek </t>
  </si>
  <si>
    <t xml:space="preserve">Výnosy z krátkodobého finančného majetku v podielovej účasti okrem výnosov prepojených účtovných jednotiek </t>
  </si>
  <si>
    <t xml:space="preserve">Ostatné výnosy z krátkodobého finančného majetku </t>
  </si>
  <si>
    <t xml:space="preserve">Výnosové úroky </t>
  </si>
  <si>
    <t xml:space="preserve">Výnosové úroky od prepojených účtovných jednotiek </t>
  </si>
  <si>
    <t xml:space="preserve">Ostatné výnosové úroky </t>
  </si>
  <si>
    <t xml:space="preserve">Kurzové zisky </t>
  </si>
  <si>
    <t xml:space="preserve">Výnosy z precenenia cenných papierov a výnosy z derivátových operácií </t>
  </si>
  <si>
    <t>Ostatné výnosy z finančnej činnosti (668)</t>
  </si>
  <si>
    <t xml:space="preserve">Náklady na finančnú činnosť spolu </t>
  </si>
  <si>
    <t xml:space="preserve">Predané cenné papiere a podiely </t>
  </si>
  <si>
    <t>Náklady na krátkodobý finančný majetok (566)</t>
  </si>
  <si>
    <t>Opravné položky k finančnému majetku</t>
  </si>
  <si>
    <t>Nákladové úroky (r. 50 + r. 51)</t>
  </si>
  <si>
    <t xml:space="preserve">Nákladové úroky pre prepojené účtovné jednotky </t>
  </si>
  <si>
    <t xml:space="preserve">Ostatné nákladové úroky </t>
  </si>
  <si>
    <t>Kurzové straty (563)</t>
  </si>
  <si>
    <t xml:space="preserve">Náklady na precenenie cenných papierov a náklady na derivátové operácie </t>
  </si>
  <si>
    <t>Ostatné náklady na finančnú činnosť</t>
  </si>
  <si>
    <t>Výsledok hospodárenia z finančnej činnosti (+/-) (r. 29 - r. 45)</t>
  </si>
  <si>
    <t>Výsledok hospodárenia za účtovné obdobie pred zdanením (+/-) (r. 27 + r. 55)</t>
  </si>
  <si>
    <t>Daň z príjmov (r. 58 + r. 59)</t>
  </si>
  <si>
    <t>Daň z príjmov splatná (591, 595)</t>
  </si>
  <si>
    <t>Daň z príjmov odložená (+/-) (592)</t>
  </si>
  <si>
    <t>Prevod podielov na výsledku hospodárenia spoločníkom</t>
  </si>
  <si>
    <t>Ukazovatele likvidity</t>
  </si>
  <si>
    <t>Ukazovatele aktivity</t>
  </si>
  <si>
    <t>Doba obratu zásob</t>
  </si>
  <si>
    <t>Obrat aktív</t>
  </si>
  <si>
    <t>Ukazovatele zadlženosti</t>
  </si>
  <si>
    <t>Celková zadlženosť</t>
  </si>
  <si>
    <t>Úverová zadlženosť</t>
  </si>
  <si>
    <t>Tokové zadlženie</t>
  </si>
  <si>
    <t>Ukazovatele rentability</t>
  </si>
  <si>
    <t>1. stupeň rozkladu</t>
  </si>
  <si>
    <t>0. stupeň rozkladu</t>
  </si>
  <si>
    <t>2. stupeň rozkladu</t>
  </si>
  <si>
    <t>3. stupeň rozkladu</t>
  </si>
  <si>
    <t>ČZ/VK (rentabilita vlastného kapitálu)</t>
  </si>
  <si>
    <t>ČZ/T (rentabilita tržieb - ROS)</t>
  </si>
  <si>
    <t>VK/AKT (stupeň samofinancovania)</t>
  </si>
  <si>
    <t>ČZ/ZHČ (podiel zisku na hospod. výsledku)</t>
  </si>
  <si>
    <t>ZHČ/VHČ (ziskovosť z HČ)</t>
  </si>
  <si>
    <t>T/VHČ (štruktúra tržieb z HČ)</t>
  </si>
  <si>
    <t>NM/T (viazanosť neobežného majetku)</t>
  </si>
  <si>
    <t>OM/T (viazanosť obežného majektu)</t>
  </si>
  <si>
    <t>OST AKT/T (viazanosť ostatného majetku)</t>
  </si>
  <si>
    <t>VK/ZÁV (zadlženosť vlastného imania)</t>
  </si>
  <si>
    <t>ZÁV/AKT (zadlženosť aktív)</t>
  </si>
  <si>
    <t>NPT/VHČ (nákladovosť predaného tovaru)</t>
  </si>
  <si>
    <t>SME/VHČ (materiálová a energetická nákladovosť)</t>
  </si>
  <si>
    <t>SL/VHČ (nákladovosť služieb)</t>
  </si>
  <si>
    <t>ON/VHČ (nákladovosť osobných nákladov - mzdových)</t>
  </si>
  <si>
    <t>ODP/VHČ (odpisová nákladovosť)</t>
  </si>
  <si>
    <t>OST/VHČ (ostatná nákladovosť)</t>
  </si>
  <si>
    <t>DHM/T (viazanosť dlhodobého hmotného majetku)</t>
  </si>
  <si>
    <t>DNM/T (viazanosť dlhodobého nehmotného majetku)</t>
  </si>
  <si>
    <t>DFM/T (viazanosť dlhodobého finančného majetku)</t>
  </si>
  <si>
    <t>ZÁS/T (viazanosť zásob)</t>
  </si>
  <si>
    <t>DPOH/T (viazanosť dlhodobých pohľadávok)</t>
  </si>
  <si>
    <t>KPOH/T (viazanosť krátkodobých pohľadávok)</t>
  </si>
  <si>
    <t>FU/T (viazanosť finančných účtov)</t>
  </si>
  <si>
    <t>AKT/T (viazanosť majetku)</t>
  </si>
  <si>
    <t>Celková likvidita</t>
  </si>
  <si>
    <t>Odvetvie</t>
  </si>
  <si>
    <t>GREEN, spol. s r. o.</t>
  </si>
  <si>
    <t>Kr. záväzky z OS</t>
  </si>
  <si>
    <t>Kr. pohľadávky z OS</t>
  </si>
  <si>
    <t>Rentabilita aktív</t>
  </si>
  <si>
    <t>Rentabilita tržieb</t>
  </si>
  <si>
    <t>Rentabilita VK</t>
  </si>
  <si>
    <t>Prevádzková ROS</t>
  </si>
  <si>
    <t>Rentabilita vlastného kapitálu</t>
  </si>
  <si>
    <t>M. J.</t>
  </si>
  <si>
    <t>koef.</t>
  </si>
  <si>
    <t>deň</t>
  </si>
  <si>
    <t>Doba inkasa kr. pohľadávok z obchodného styku</t>
  </si>
  <si>
    <t>Doba splatnosti kr. záväzkov z obchodného styku</t>
  </si>
  <si>
    <t>%</t>
  </si>
  <si>
    <t>rok</t>
  </si>
  <si>
    <t xml:space="preserve">Rentabilita tržieb  </t>
  </si>
  <si>
    <t>NHČ/VHČ</t>
  </si>
  <si>
    <t>Pyramídový rozklad</t>
  </si>
  <si>
    <t>IV 19/18</t>
  </si>
  <si>
    <t>IV 20/19</t>
  </si>
  <si>
    <t>priemer</t>
  </si>
  <si>
    <t>Tabuľka 1: Výpočet zásob a pohľadávok</t>
  </si>
  <si>
    <t>Tržby z predaja t., v., sl,</t>
  </si>
  <si>
    <t>DOZ</t>
  </si>
  <si>
    <t>Zásoby</t>
  </si>
  <si>
    <t>Inkaso kr.phľ.</t>
  </si>
  <si>
    <t>Kr.pohľ.</t>
  </si>
  <si>
    <t>Tabuľka 1: Výpočet krátkodobých záväzkov</t>
  </si>
  <si>
    <t>Doba splatnosti záv.</t>
  </si>
  <si>
    <t>K.záv</t>
  </si>
  <si>
    <t>Doba splat.záv z OS</t>
  </si>
  <si>
    <t>K.záv. Z OS</t>
  </si>
  <si>
    <t>Záväzky z obchodného styku v rámci podielovej účasti okrem záväzkov voči prepojeným jednotkám</t>
  </si>
  <si>
    <t>PRIDANÁ HODNOTA</t>
  </si>
  <si>
    <t>tržby z predaja tovaru</t>
  </si>
  <si>
    <t>n. vynalož. Na obstaranie predaného t.</t>
  </si>
  <si>
    <t>OBCHODNÁ MARŽA</t>
  </si>
  <si>
    <t>t. z predaja vlast.výrobkov</t>
  </si>
  <si>
    <t>t. z predaja sl.</t>
  </si>
  <si>
    <t>zmena voz</t>
  </si>
  <si>
    <t>VÝROBA</t>
  </si>
  <si>
    <t>spotr.mat.,energie</t>
  </si>
  <si>
    <t>služby</t>
  </si>
  <si>
    <t>op k zásobam</t>
  </si>
  <si>
    <t>VÝROBNÁ SPOTREBA</t>
  </si>
  <si>
    <t>zmena</t>
  </si>
  <si>
    <t>vplyvy</t>
  </si>
  <si>
    <t>Kontrola</t>
  </si>
  <si>
    <t>21-20</t>
  </si>
  <si>
    <t>22-21</t>
  </si>
  <si>
    <t>20-19</t>
  </si>
  <si>
    <r>
      <rPr>
        <b/>
        <sz val="8"/>
        <color theme="1"/>
        <rFont val="Times New Roman"/>
        <family val="1"/>
      </rPr>
      <t>D</t>
    </r>
    <r>
      <rPr>
        <sz val="8"/>
        <color theme="1"/>
        <rFont val="Times New Roman"/>
        <family val="1"/>
      </rPr>
      <t xml:space="preserve"> - Dodávka elektriny, plynu, pary a studeného vzduchu</t>
    </r>
  </si>
  <si>
    <r>
      <rPr>
        <b/>
        <sz val="8"/>
        <color theme="1"/>
        <rFont val="Times New Roman"/>
        <family val="1"/>
      </rPr>
      <t>E</t>
    </r>
    <r>
      <rPr>
        <sz val="8"/>
        <color theme="1"/>
        <rFont val="Times New Roman"/>
        <family val="1"/>
      </rPr>
      <t xml:space="preserve"> - Dodávka vody, čistenie a odvod odpadových vôd, odpady a služby odstraňovania odpadov</t>
    </r>
  </si>
  <si>
    <r>
      <rPr>
        <b/>
        <sz val="8"/>
        <color theme="1"/>
        <rFont val="Times New Roman"/>
        <family val="1"/>
      </rPr>
      <t>L</t>
    </r>
    <r>
      <rPr>
        <sz val="8"/>
        <color theme="1"/>
        <rFont val="Times New Roman"/>
        <family val="1"/>
      </rPr>
      <t xml:space="preserve"> - Činnosti v oblasti nehnuteľností</t>
    </r>
  </si>
  <si>
    <r>
      <rPr>
        <b/>
        <sz val="8"/>
        <color theme="1"/>
        <rFont val="Times New Roman"/>
        <family val="1"/>
      </rPr>
      <t>K</t>
    </r>
    <r>
      <rPr>
        <sz val="8"/>
        <color theme="1"/>
        <rFont val="Times New Roman"/>
        <family val="1"/>
      </rPr>
      <t xml:space="preserve"> - Finančné a poisťovacie služby</t>
    </r>
  </si>
  <si>
    <t>19-18</t>
  </si>
  <si>
    <t>Plán 2022</t>
  </si>
  <si>
    <t>A.</t>
  </si>
  <si>
    <t>A.I.</t>
  </si>
  <si>
    <t>2.</t>
  </si>
  <si>
    <t>A.II.</t>
  </si>
  <si>
    <t>3.</t>
  </si>
  <si>
    <t>6.</t>
  </si>
  <si>
    <t>Inkaso kr.phľ. Z OS</t>
  </si>
  <si>
    <t>7.</t>
  </si>
  <si>
    <t>Kr.pohľ. Z OS</t>
  </si>
  <si>
    <t>8.</t>
  </si>
  <si>
    <t>B.</t>
  </si>
  <si>
    <t>B.I.</t>
  </si>
  <si>
    <t>B.I.1.</t>
  </si>
  <si>
    <t>5.</t>
  </si>
  <si>
    <t>B.II.</t>
  </si>
  <si>
    <t>1.c.</t>
  </si>
  <si>
    <t>B.III.</t>
  </si>
  <si>
    <t>B.III.1.</t>
  </si>
  <si>
    <t>1.a.</t>
  </si>
  <si>
    <t>9.</t>
  </si>
  <si>
    <t>B.V.</t>
  </si>
  <si>
    <t>B.V.1.</t>
  </si>
  <si>
    <t>C.</t>
  </si>
  <si>
    <t/>
  </si>
  <si>
    <t>A.IV.</t>
  </si>
  <si>
    <t>A.VI.</t>
  </si>
  <si>
    <t>A.VI.1.</t>
  </si>
  <si>
    <t>A.VIII.</t>
  </si>
  <si>
    <t>1.b.</t>
  </si>
  <si>
    <t>12.</t>
  </si>
  <si>
    <t>B.III</t>
  </si>
  <si>
    <t>B.IV.</t>
  </si>
  <si>
    <t>B.IV.1.</t>
  </si>
  <si>
    <t>10.</t>
  </si>
  <si>
    <t>B.VI.</t>
  </si>
  <si>
    <t>B.VII.</t>
  </si>
  <si>
    <t>*</t>
  </si>
  <si>
    <t>**</t>
  </si>
  <si>
    <t>I.</t>
  </si>
  <si>
    <t>II.</t>
  </si>
  <si>
    <t>III.</t>
  </si>
  <si>
    <t>IV.</t>
  </si>
  <si>
    <t>VI.</t>
  </si>
  <si>
    <t>VII.</t>
  </si>
  <si>
    <t>C</t>
  </si>
  <si>
    <t>D.</t>
  </si>
  <si>
    <t>E.</t>
  </si>
  <si>
    <t>E.1.</t>
  </si>
  <si>
    <t>4.</t>
  </si>
  <si>
    <t>F.</t>
  </si>
  <si>
    <t>G.</t>
  </si>
  <si>
    <t>G.1.</t>
  </si>
  <si>
    <t>H.</t>
  </si>
  <si>
    <t>J.</t>
  </si>
  <si>
    <t>***</t>
  </si>
  <si>
    <t>XII.</t>
  </si>
  <si>
    <t>**.</t>
  </si>
  <si>
    <t>N.</t>
  </si>
  <si>
    <t>O.</t>
  </si>
  <si>
    <t>Q.</t>
  </si>
  <si>
    <t>****</t>
  </si>
  <si>
    <t>R.</t>
  </si>
  <si>
    <t>R.1.</t>
  </si>
  <si>
    <t xml:space="preserve">GREEN, spol. s r. o. </t>
  </si>
  <si>
    <t>Rast/pokles</t>
  </si>
  <si>
    <t>POKLES</t>
  </si>
  <si>
    <t>Medián/podnikový výsledok</t>
  </si>
  <si>
    <t>RAST</t>
  </si>
  <si>
    <t>Podnikový výsledok/medián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</si>
</sst>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#,###;\-#,###"/>
    <numFmt numFmtId="165" formatCode="0.0000"/>
    <numFmt numFmtId="166" formatCode="#,##0.00\ [$€-41B]"/>
    <numFmt numFmtId="167" formatCode="&quot;$&quot;#,##0.00"/>
    <numFmt numFmtId="168" formatCode="0.000"/>
  </numFmts>
  <fonts count="4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rgb="FF00B0F0"/>
      <name val="Times New Roman"/>
      <family val="1"/>
      <charset val="238"/>
    </font>
    <font>
      <sz val="8"/>
      <color rgb="FF000000"/>
      <name val="Times New Roman"/>
      <family val="1"/>
    </font>
    <font>
      <b/>
      <sz val="11"/>
      <name val="Calibri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b/>
      <sz val="8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 tint="0.14999847407452621"/>
      <name val="Times New Roman"/>
      <family val="1"/>
    </font>
    <font>
      <sz val="8"/>
      <name val="Times New Roman"/>
      <family val="1"/>
    </font>
    <font>
      <sz val="9"/>
      <name val="Arial Black"/>
      <family val="2"/>
      <charset val="238"/>
    </font>
    <font>
      <i/>
      <sz val="8"/>
      <color theme="1"/>
      <name val="Times New Roman"/>
      <family val="1"/>
    </font>
    <font>
      <sz val="1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48235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BECD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8D08C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3" fillId="4" borderId="0" applyNumberFormat="0" applyBorder="0" applyAlignment="0" applyProtection="0"/>
    <xf numFmtId="9" fontId="5" fillId="0" borderId="0" applyFont="0" applyFill="0" applyBorder="0" applyAlignment="0" applyProtection="0"/>
    <xf numFmtId="0" fontId="5" fillId="12" borderId="0" applyNumberFormat="0" applyBorder="0" applyAlignment="0" applyProtection="0"/>
    <xf numFmtId="44" fontId="5" fillId="0" borderId="0" applyFont="0" applyFill="0" applyBorder="0" applyAlignment="0" applyProtection="0"/>
  </cellStyleXfs>
  <cellXfs count="4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3" fontId="0" fillId="0" borderId="0" xfId="0" applyNumberFormat="1"/>
    <xf numFmtId="0" fontId="0" fillId="14" borderId="0" xfId="0" applyFill="1"/>
    <xf numFmtId="164" fontId="0" fillId="0" borderId="0" xfId="0" applyNumberFormat="1"/>
    <xf numFmtId="0" fontId="8" fillId="16" borderId="0" xfId="0" applyFont="1" applyFill="1" applyAlignment="1">
      <alignment horizontal="center"/>
    </xf>
    <xf numFmtId="0" fontId="9" fillId="16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65" fontId="8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22" borderId="0" xfId="0" applyNumberFormat="1" applyFont="1" applyFill="1" applyAlignment="1">
      <alignment horizontal="center"/>
    </xf>
    <xf numFmtId="0" fontId="11" fillId="0" borderId="0" xfId="0" applyFont="1" applyAlignment="1">
      <alignment horizontal="center"/>
    </xf>
    <xf numFmtId="165" fontId="11" fillId="18" borderId="0" xfId="0" applyNumberFormat="1" applyFont="1" applyFill="1" applyAlignment="1">
      <alignment horizontal="center"/>
    </xf>
    <xf numFmtId="0" fontId="8" fillId="22" borderId="0" xfId="0" applyFont="1" applyFill="1" applyAlignment="1">
      <alignment horizontal="center"/>
    </xf>
    <xf numFmtId="0" fontId="8" fillId="17" borderId="0" xfId="0" applyFont="1" applyFill="1" applyAlignment="1">
      <alignment horizontal="center"/>
    </xf>
    <xf numFmtId="0" fontId="6" fillId="15" borderId="0" xfId="0" applyFont="1" applyFill="1" applyAlignment="1">
      <alignment horizontal="center"/>
    </xf>
    <xf numFmtId="0" fontId="8" fillId="22" borderId="0" xfId="0" applyFont="1" applyFill="1" applyAlignment="1">
      <alignment horizontal="center"/>
    </xf>
    <xf numFmtId="0" fontId="8" fillId="17" borderId="0" xfId="0" applyFont="1" applyFill="1" applyAlignment="1">
      <alignment horizontal="center"/>
    </xf>
    <xf numFmtId="0" fontId="13" fillId="3" borderId="0" xfId="0" applyFont="1" applyFill="1"/>
    <xf numFmtId="0" fontId="14" fillId="3" borderId="0" xfId="0" applyFont="1" applyFill="1" applyAlignment="1">
      <alignment horizontal="center"/>
    </xf>
    <xf numFmtId="0" fontId="13" fillId="0" borderId="0" xfId="0" applyFont="1"/>
    <xf numFmtId="2" fontId="13" fillId="0" borderId="0" xfId="0" applyNumberFormat="1" applyFont="1" applyBorder="1" applyAlignment="1">
      <alignment horizontal="center" vertical="top" wrapText="1"/>
    </xf>
    <xf numFmtId="0" fontId="14" fillId="2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6" fillId="0" borderId="0" xfId="0" applyFont="1"/>
    <xf numFmtId="0" fontId="17" fillId="0" borderId="0" xfId="0" applyFont="1"/>
    <xf numFmtId="0" fontId="9" fillId="7" borderId="1" xfId="1" applyFont="1" applyFill="1" applyBorder="1" applyAlignment="1">
      <alignment horizontal="center"/>
    </xf>
    <xf numFmtId="0" fontId="9" fillId="7" borderId="2" xfId="1" applyFont="1" applyFill="1" applyBorder="1" applyAlignment="1">
      <alignment horizontal="center"/>
    </xf>
    <xf numFmtId="0" fontId="9" fillId="7" borderId="3" xfId="1" applyFont="1" applyFill="1" applyBorder="1" applyAlignment="1">
      <alignment horizontal="center"/>
    </xf>
    <xf numFmtId="0" fontId="9" fillId="2" borderId="1" xfId="0" applyFont="1" applyFill="1" applyBorder="1"/>
    <xf numFmtId="164" fontId="15" fillId="2" borderId="2" xfId="0" applyNumberFormat="1" applyFont="1" applyFill="1" applyBorder="1"/>
    <xf numFmtId="164" fontId="15" fillId="2" borderId="3" xfId="0" applyNumberFormat="1" applyFont="1" applyFill="1" applyBorder="1"/>
    <xf numFmtId="0" fontId="18" fillId="0" borderId="0" xfId="0" applyFont="1"/>
    <xf numFmtId="164" fontId="15" fillId="2" borderId="16" xfId="0" applyNumberFormat="1" applyFont="1" applyFill="1" applyBorder="1"/>
    <xf numFmtId="164" fontId="15" fillId="2" borderId="17" xfId="0" applyNumberFormat="1" applyFont="1" applyFill="1" applyBorder="1"/>
    <xf numFmtId="0" fontId="9" fillId="5" borderId="1" xfId="0" applyFont="1" applyFill="1" applyBorder="1"/>
    <xf numFmtId="164" fontId="15" fillId="5" borderId="2" xfId="0" applyNumberFormat="1" applyFont="1" applyFill="1" applyBorder="1"/>
    <xf numFmtId="164" fontId="15" fillId="5" borderId="3" xfId="0" applyNumberFormat="1" applyFont="1" applyFill="1" applyBorder="1"/>
    <xf numFmtId="164" fontId="15" fillId="5" borderId="16" xfId="0" applyNumberFormat="1" applyFont="1" applyFill="1" applyBorder="1"/>
    <xf numFmtId="164" fontId="15" fillId="5" borderId="17" xfId="0" applyNumberFormat="1" applyFont="1" applyFill="1" applyBorder="1"/>
    <xf numFmtId="0" fontId="9" fillId="5" borderId="4" xfId="0" applyFont="1" applyFill="1" applyBorder="1"/>
    <xf numFmtId="164" fontId="15" fillId="5" borderId="5" xfId="0" applyNumberFormat="1" applyFont="1" applyFill="1" applyBorder="1"/>
    <xf numFmtId="164" fontId="15" fillId="5" borderId="6" xfId="0" applyNumberFormat="1" applyFont="1" applyFill="1" applyBorder="1"/>
    <xf numFmtId="164" fontId="15" fillId="5" borderId="18" xfId="0" applyNumberFormat="1" applyFont="1" applyFill="1" applyBorder="1"/>
    <xf numFmtId="164" fontId="15" fillId="5" borderId="19" xfId="0" applyNumberFormat="1" applyFont="1" applyFill="1" applyBorder="1"/>
    <xf numFmtId="0" fontId="17" fillId="0" borderId="7" xfId="0" applyFont="1" applyFill="1" applyBorder="1"/>
    <xf numFmtId="164" fontId="17" fillId="0" borderId="8" xfId="0" applyNumberFormat="1" applyFont="1" applyFill="1" applyBorder="1"/>
    <xf numFmtId="164" fontId="17" fillId="0" borderId="9" xfId="0" applyNumberFormat="1" applyFont="1" applyFill="1" applyBorder="1"/>
    <xf numFmtId="0" fontId="15" fillId="5" borderId="7" xfId="0" applyFont="1" applyFill="1" applyBorder="1"/>
    <xf numFmtId="164" fontId="15" fillId="5" borderId="20" xfId="0" applyNumberFormat="1" applyFont="1" applyFill="1" applyBorder="1"/>
    <xf numFmtId="164" fontId="15" fillId="5" borderId="21" xfId="0" applyNumberFormat="1" applyFont="1" applyFill="1" applyBorder="1"/>
    <xf numFmtId="164" fontId="15" fillId="5" borderId="9" xfId="0" applyNumberFormat="1" applyFont="1" applyFill="1" applyBorder="1"/>
    <xf numFmtId="164" fontId="17" fillId="0" borderId="20" xfId="0" applyNumberFormat="1" applyFont="1" applyFill="1" applyBorder="1"/>
    <xf numFmtId="164" fontId="17" fillId="0" borderId="21" xfId="0" applyNumberFormat="1" applyFont="1" applyFill="1" applyBorder="1"/>
    <xf numFmtId="0" fontId="9" fillId="5" borderId="7" xfId="0" applyFont="1" applyFill="1" applyBorder="1"/>
    <xf numFmtId="164" fontId="15" fillId="5" borderId="8" xfId="0" applyNumberFormat="1" applyFont="1" applyFill="1" applyBorder="1"/>
    <xf numFmtId="164" fontId="15" fillId="0" borderId="9" xfId="0" applyNumberFormat="1" applyFont="1" applyFill="1" applyBorder="1"/>
    <xf numFmtId="0" fontId="9" fillId="0" borderId="7" xfId="0" applyFont="1" applyFill="1" applyBorder="1"/>
    <xf numFmtId="164" fontId="15" fillId="0" borderId="20" xfId="0" applyNumberFormat="1" applyFont="1" applyFill="1" applyBorder="1"/>
    <xf numFmtId="164" fontId="15" fillId="0" borderId="21" xfId="0" applyNumberFormat="1" applyFont="1" applyFill="1" applyBorder="1"/>
    <xf numFmtId="0" fontId="9" fillId="5" borderId="10" xfId="0" applyFont="1" applyFill="1" applyBorder="1"/>
    <xf numFmtId="164" fontId="15" fillId="5" borderId="22" xfId="0" applyNumberFormat="1" applyFont="1" applyFill="1" applyBorder="1"/>
    <xf numFmtId="164" fontId="15" fillId="5" borderId="23" xfId="0" applyNumberFormat="1" applyFont="1" applyFill="1" applyBorder="1"/>
    <xf numFmtId="164" fontId="15" fillId="5" borderId="12" xfId="0" applyNumberFormat="1" applyFont="1" applyFill="1" applyBorder="1"/>
    <xf numFmtId="0" fontId="17" fillId="0" borderId="10" xfId="0" applyFont="1" applyFill="1" applyBorder="1"/>
    <xf numFmtId="164" fontId="17" fillId="0" borderId="11" xfId="0" applyNumberFormat="1" applyFont="1" applyFill="1" applyBorder="1"/>
    <xf numFmtId="164" fontId="17" fillId="0" borderId="12" xfId="0" applyNumberFormat="1" applyFont="1" applyFill="1" applyBorder="1"/>
    <xf numFmtId="0" fontId="17" fillId="0" borderId="13" xfId="0" applyFont="1" applyFill="1" applyBorder="1"/>
    <xf numFmtId="164" fontId="17" fillId="0" borderId="24" xfId="0" applyNumberFormat="1" applyFont="1" applyFill="1" applyBorder="1"/>
    <xf numFmtId="164" fontId="17" fillId="0" borderId="25" xfId="0" applyNumberFormat="1" applyFont="1" applyFill="1" applyBorder="1"/>
    <xf numFmtId="164" fontId="17" fillId="0" borderId="15" xfId="0" applyNumberFormat="1" applyFont="1" applyFill="1" applyBorder="1"/>
    <xf numFmtId="164" fontId="17" fillId="0" borderId="14" xfId="0" applyNumberFormat="1" applyFont="1" applyFill="1" applyBorder="1"/>
    <xf numFmtId="0" fontId="16" fillId="6" borderId="0" xfId="0" applyFont="1" applyFill="1"/>
    <xf numFmtId="0" fontId="19" fillId="7" borderId="9" xfId="1" applyFont="1" applyFill="1" applyBorder="1" applyAlignment="1">
      <alignment horizontal="center"/>
    </xf>
    <xf numFmtId="0" fontId="19" fillId="7" borderId="26" xfId="1" applyFont="1" applyFill="1" applyBorder="1" applyAlignment="1">
      <alignment horizontal="center"/>
    </xf>
    <xf numFmtId="0" fontId="19" fillId="2" borderId="9" xfId="0" applyFont="1" applyFill="1" applyBorder="1"/>
    <xf numFmtId="164" fontId="13" fillId="2" borderId="9" xfId="0" applyNumberFormat="1" applyFont="1" applyFill="1" applyBorder="1"/>
    <xf numFmtId="0" fontId="19" fillId="5" borderId="9" xfId="0" applyFont="1" applyFill="1" applyBorder="1"/>
    <xf numFmtId="164" fontId="13" fillId="5" borderId="9" xfId="0" applyNumberFormat="1" applyFont="1" applyFill="1" applyBorder="1"/>
    <xf numFmtId="0" fontId="13" fillId="0" borderId="9" xfId="0" applyFont="1" applyFill="1" applyBorder="1"/>
    <xf numFmtId="164" fontId="13" fillId="0" borderId="9" xfId="0" applyNumberFormat="1" applyFont="1" applyFill="1" applyBorder="1"/>
    <xf numFmtId="164" fontId="13" fillId="0" borderId="21" xfId="0" applyNumberFormat="1" applyFont="1" applyFill="1" applyBorder="1"/>
    <xf numFmtId="0" fontId="13" fillId="0" borderId="9" xfId="0" applyFont="1" applyBorder="1"/>
    <xf numFmtId="164" fontId="13" fillId="0" borderId="9" xfId="0" applyNumberFormat="1" applyFont="1" applyBorder="1"/>
    <xf numFmtId="164" fontId="13" fillId="0" borderId="21" xfId="0" applyNumberFormat="1" applyFont="1" applyBorder="1"/>
    <xf numFmtId="0" fontId="13" fillId="5" borderId="9" xfId="0" applyFont="1" applyFill="1" applyBorder="1"/>
    <xf numFmtId="164" fontId="13" fillId="5" borderId="21" xfId="0" applyNumberFormat="1" applyFont="1" applyFill="1" applyBorder="1"/>
    <xf numFmtId="0" fontId="6" fillId="9" borderId="29" xfId="0" applyFont="1" applyFill="1" applyBorder="1" applyAlignment="1">
      <alignment horizontal="center" vertical="center"/>
    </xf>
    <xf numFmtId="0" fontId="8" fillId="11" borderId="29" xfId="0" applyFont="1" applyFill="1" applyBorder="1" applyAlignment="1">
      <alignment horizontal="center" vertical="center" wrapText="1"/>
    </xf>
    <xf numFmtId="0" fontId="8" fillId="11" borderId="29" xfId="0" applyFont="1" applyFill="1" applyBorder="1" applyAlignment="1">
      <alignment horizontal="center" vertical="center"/>
    </xf>
    <xf numFmtId="2" fontId="8" fillId="11" borderId="29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22" borderId="0" xfId="0" applyFont="1" applyFill="1" applyAlignment="1">
      <alignment horizontal="center"/>
    </xf>
    <xf numFmtId="0" fontId="11" fillId="18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10" fontId="11" fillId="0" borderId="0" xfId="0" applyNumberFormat="1" applyFont="1" applyAlignment="1">
      <alignment horizontal="center"/>
    </xf>
    <xf numFmtId="10" fontId="11" fillId="22" borderId="0" xfId="0" applyNumberFormat="1" applyFont="1" applyFill="1" applyAlignment="1">
      <alignment horizontal="center"/>
    </xf>
    <xf numFmtId="0" fontId="11" fillId="19" borderId="0" xfId="0" applyFont="1" applyFill="1" applyAlignment="1">
      <alignment horizontal="center"/>
    </xf>
    <xf numFmtId="0" fontId="11" fillId="20" borderId="0" xfId="0" applyFont="1" applyFill="1" applyAlignment="1">
      <alignment horizontal="center"/>
    </xf>
    <xf numFmtId="0" fontId="11" fillId="21" borderId="0" xfId="0" applyFont="1" applyFill="1" applyAlignment="1">
      <alignment horizontal="center"/>
    </xf>
    <xf numFmtId="0" fontId="11" fillId="23" borderId="0" xfId="0" applyFont="1" applyFill="1" applyAlignment="1">
      <alignment horizontal="center"/>
    </xf>
    <xf numFmtId="10" fontId="11" fillId="23" borderId="0" xfId="0" applyNumberFormat="1" applyFont="1" applyFill="1" applyAlignment="1">
      <alignment horizontal="center"/>
    </xf>
    <xf numFmtId="10" fontId="11" fillId="20" borderId="0" xfId="0" applyNumberFormat="1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0" fillId="0" borderId="0" xfId="0" applyFont="1" applyFill="1"/>
    <xf numFmtId="0" fontId="22" fillId="0" borderId="0" xfId="0" applyFont="1" applyFill="1"/>
    <xf numFmtId="0" fontId="7" fillId="22" borderId="0" xfId="0" applyFont="1" applyFill="1" applyAlignment="1">
      <alignment horizontal="center"/>
    </xf>
    <xf numFmtId="165" fontId="11" fillId="0" borderId="0" xfId="0" applyNumberFormat="1" applyFont="1" applyAlignment="1">
      <alignment horizontal="center"/>
    </xf>
    <xf numFmtId="165" fontId="11" fillId="19" borderId="0" xfId="0" applyNumberFormat="1" applyFont="1" applyFill="1" applyAlignment="1">
      <alignment horizontal="center"/>
    </xf>
    <xf numFmtId="165" fontId="11" fillId="20" borderId="0" xfId="0" applyNumberFormat="1" applyFont="1" applyFill="1" applyAlignment="1">
      <alignment horizontal="center"/>
    </xf>
    <xf numFmtId="165" fontId="11" fillId="21" borderId="0" xfId="0" applyNumberFormat="1" applyFont="1" applyFill="1" applyAlignment="1">
      <alignment horizontal="center"/>
    </xf>
    <xf numFmtId="165" fontId="11" fillId="23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166" fontId="4" fillId="0" borderId="0" xfId="0" applyNumberFormat="1" applyFont="1"/>
    <xf numFmtId="10" fontId="4" fillId="0" borderId="0" xfId="0" applyNumberFormat="1" applyFont="1"/>
    <xf numFmtId="2" fontId="8" fillId="0" borderId="0" xfId="0" applyNumberFormat="1" applyFont="1" applyFill="1" applyBorder="1" applyAlignment="1">
      <alignment horizontal="center" vertical="center"/>
    </xf>
    <xf numFmtId="0" fontId="6" fillId="9" borderId="44" xfId="0" applyFont="1" applyFill="1" applyBorder="1" applyAlignment="1">
      <alignment horizontal="center" vertical="center"/>
    </xf>
    <xf numFmtId="0" fontId="8" fillId="11" borderId="43" xfId="0" applyFont="1" applyFill="1" applyBorder="1" applyAlignment="1">
      <alignment vertical="center"/>
    </xf>
    <xf numFmtId="0" fontId="8" fillId="11" borderId="44" xfId="0" applyFont="1" applyFill="1" applyBorder="1" applyAlignment="1">
      <alignment horizontal="center" vertical="center"/>
    </xf>
    <xf numFmtId="2" fontId="8" fillId="11" borderId="44" xfId="0" applyNumberFormat="1" applyFont="1" applyFill="1" applyBorder="1" applyAlignment="1">
      <alignment horizontal="center" vertical="center"/>
    </xf>
    <xf numFmtId="0" fontId="8" fillId="11" borderId="47" xfId="0" applyFont="1" applyFill="1" applyBorder="1" applyAlignment="1">
      <alignment vertical="center"/>
    </xf>
    <xf numFmtId="0" fontId="8" fillId="11" borderId="48" xfId="0" applyFont="1" applyFill="1" applyBorder="1" applyAlignment="1">
      <alignment horizontal="center" vertical="center" wrapText="1"/>
    </xf>
    <xf numFmtId="0" fontId="8" fillId="11" borderId="48" xfId="0" applyFont="1" applyFill="1" applyBorder="1" applyAlignment="1">
      <alignment horizontal="center" vertical="center"/>
    </xf>
    <xf numFmtId="0" fontId="8" fillId="11" borderId="49" xfId="0" applyFont="1" applyFill="1" applyBorder="1" applyAlignment="1">
      <alignment horizontal="center" vertical="center"/>
    </xf>
    <xf numFmtId="164" fontId="24" fillId="24" borderId="9" xfId="0" applyNumberFormat="1" applyFont="1" applyFill="1" applyBorder="1"/>
    <xf numFmtId="164" fontId="25" fillId="0" borderId="9" xfId="0" applyNumberFormat="1" applyFont="1" applyBorder="1"/>
    <xf numFmtId="164" fontId="24" fillId="13" borderId="9" xfId="0" applyNumberFormat="1" applyFont="1" applyFill="1" applyBorder="1"/>
    <xf numFmtId="3" fontId="24" fillId="24" borderId="2" xfId="0" applyNumberFormat="1" applyFont="1" applyFill="1" applyBorder="1"/>
    <xf numFmtId="3" fontId="24" fillId="24" borderId="5" xfId="0" applyNumberFormat="1" applyFont="1" applyFill="1" applyBorder="1"/>
    <xf numFmtId="164" fontId="24" fillId="24" borderId="21" xfId="0" applyNumberFormat="1" applyFont="1" applyFill="1" applyBorder="1"/>
    <xf numFmtId="164" fontId="25" fillId="0" borderId="21" xfId="0" applyNumberFormat="1" applyFont="1" applyBorder="1"/>
    <xf numFmtId="3" fontId="24" fillId="24" borderId="8" xfId="0" applyNumberFormat="1" applyFont="1" applyFill="1" applyBorder="1"/>
    <xf numFmtId="3" fontId="24" fillId="24" borderId="21" xfId="0" applyNumberFormat="1" applyFont="1" applyFill="1" applyBorder="1"/>
    <xf numFmtId="164" fontId="24" fillId="0" borderId="21" xfId="0" applyNumberFormat="1" applyFont="1" applyBorder="1"/>
    <xf numFmtId="164" fontId="24" fillId="24" borderId="3" xfId="0" applyNumberFormat="1" applyFont="1" applyFill="1" applyBorder="1"/>
    <xf numFmtId="164" fontId="24" fillId="24" borderId="6" xfId="0" applyNumberFormat="1" applyFont="1" applyFill="1" applyBorder="1"/>
    <xf numFmtId="0" fontId="25" fillId="0" borderId="7" xfId="0" applyFont="1" applyBorder="1"/>
    <xf numFmtId="0" fontId="26" fillId="24" borderId="1" xfId="0" applyFont="1" applyFill="1" applyBorder="1"/>
    <xf numFmtId="164" fontId="24" fillId="24" borderId="16" xfId="0" applyNumberFormat="1" applyFont="1" applyFill="1" applyBorder="1"/>
    <xf numFmtId="164" fontId="24" fillId="24" borderId="17" xfId="0" applyNumberFormat="1" applyFont="1" applyFill="1" applyBorder="1"/>
    <xf numFmtId="2" fontId="25" fillId="6" borderId="31" xfId="0" applyNumberFormat="1" applyFont="1" applyFill="1" applyBorder="1"/>
    <xf numFmtId="2" fontId="24" fillId="26" borderId="27" xfId="0" applyNumberFormat="1" applyFont="1" applyFill="1" applyBorder="1"/>
    <xf numFmtId="0" fontId="26" fillId="24" borderId="4" xfId="0" applyFont="1" applyFill="1" applyBorder="1"/>
    <xf numFmtId="164" fontId="24" fillId="24" borderId="18" xfId="0" applyNumberFormat="1" applyFont="1" applyFill="1" applyBorder="1"/>
    <xf numFmtId="164" fontId="24" fillId="24" borderId="19" xfId="0" applyNumberFormat="1" applyFont="1" applyFill="1" applyBorder="1"/>
    <xf numFmtId="2" fontId="25" fillId="6" borderId="5" xfId="0" applyNumberFormat="1" applyFont="1" applyFill="1" applyBorder="1"/>
    <xf numFmtId="2" fontId="25" fillId="6" borderId="52" xfId="0" applyNumberFormat="1" applyFont="1" applyFill="1" applyBorder="1"/>
    <xf numFmtId="2" fontId="24" fillId="26" borderId="4" xfId="0" applyNumberFormat="1" applyFont="1" applyFill="1" applyBorder="1"/>
    <xf numFmtId="0" fontId="26" fillId="24" borderId="7" xfId="0" applyFont="1" applyFill="1" applyBorder="1"/>
    <xf numFmtId="164" fontId="24" fillId="24" borderId="20" xfId="0" applyNumberFormat="1" applyFont="1" applyFill="1" applyBorder="1"/>
    <xf numFmtId="2" fontId="25" fillId="6" borderId="8" xfId="0" applyNumberFormat="1" applyFont="1" applyFill="1" applyBorder="1"/>
    <xf numFmtId="2" fontId="25" fillId="6" borderId="32" xfId="0" applyNumberFormat="1" applyFont="1" applyFill="1" applyBorder="1"/>
    <xf numFmtId="2" fontId="24" fillId="26" borderId="7" xfId="0" applyNumberFormat="1" applyFont="1" applyFill="1" applyBorder="1"/>
    <xf numFmtId="164" fontId="25" fillId="0" borderId="20" xfId="0" applyNumberFormat="1" applyFont="1" applyBorder="1"/>
    <xf numFmtId="0" fontId="26" fillId="24" borderId="10" xfId="0" applyFont="1" applyFill="1" applyBorder="1"/>
    <xf numFmtId="164" fontId="24" fillId="24" borderId="22" xfId="0" applyNumberFormat="1" applyFont="1" applyFill="1" applyBorder="1"/>
    <xf numFmtId="164" fontId="24" fillId="24" borderId="23" xfId="0" applyNumberFormat="1" applyFont="1" applyFill="1" applyBorder="1"/>
    <xf numFmtId="164" fontId="24" fillId="24" borderId="12" xfId="0" applyNumberFormat="1" applyFont="1" applyFill="1" applyBorder="1"/>
    <xf numFmtId="2" fontId="25" fillId="6" borderId="11" xfId="0" applyNumberFormat="1" applyFont="1" applyFill="1" applyBorder="1"/>
    <xf numFmtId="2" fontId="25" fillId="6" borderId="33" xfId="0" applyNumberFormat="1" applyFont="1" applyFill="1" applyBorder="1"/>
    <xf numFmtId="3" fontId="24" fillId="24" borderId="11" xfId="0" applyNumberFormat="1" applyFont="1" applyFill="1" applyBorder="1"/>
    <xf numFmtId="0" fontId="27" fillId="13" borderId="7" xfId="0" applyFont="1" applyFill="1" applyBorder="1"/>
    <xf numFmtId="164" fontId="24" fillId="13" borderId="20" xfId="0" applyNumberFormat="1" applyFont="1" applyFill="1" applyBorder="1"/>
    <xf numFmtId="164" fontId="24" fillId="13" borderId="21" xfId="0" applyNumberFormat="1" applyFont="1" applyFill="1" applyBorder="1"/>
    <xf numFmtId="2" fontId="25" fillId="13" borderId="8" xfId="0" applyNumberFormat="1" applyFont="1" applyFill="1" applyBorder="1"/>
    <xf numFmtId="2" fontId="25" fillId="13" borderId="32" xfId="0" applyNumberFormat="1" applyFont="1" applyFill="1" applyBorder="1"/>
    <xf numFmtId="2" fontId="24" fillId="13" borderId="7" xfId="0" applyNumberFormat="1" applyFont="1" applyFill="1" applyBorder="1"/>
    <xf numFmtId="3" fontId="24" fillId="13" borderId="8" xfId="0" applyNumberFormat="1" applyFont="1" applyFill="1" applyBorder="1"/>
    <xf numFmtId="3" fontId="25" fillId="0" borderId="8" xfId="0" applyNumberFormat="1" applyFont="1" applyBorder="1"/>
    <xf numFmtId="164" fontId="24" fillId="0" borderId="9" xfId="0" applyNumberFormat="1" applyFont="1" applyBorder="1"/>
    <xf numFmtId="3" fontId="24" fillId="0" borderId="8" xfId="0" applyNumberFormat="1" applyFont="1" applyBorder="1"/>
    <xf numFmtId="0" fontId="26" fillId="0" borderId="7" xfId="0" applyFont="1" applyBorder="1"/>
    <xf numFmtId="164" fontId="24" fillId="0" borderId="20" xfId="0" applyNumberFormat="1" applyFont="1" applyBorder="1"/>
    <xf numFmtId="2" fontId="25" fillId="0" borderId="8" xfId="0" applyNumberFormat="1" applyFont="1" applyBorder="1"/>
    <xf numFmtId="2" fontId="25" fillId="0" borderId="32" xfId="0" applyNumberFormat="1" applyFont="1" applyBorder="1"/>
    <xf numFmtId="2" fontId="24" fillId="0" borderId="7" xfId="0" applyNumberFormat="1" applyFont="1" applyBorder="1"/>
    <xf numFmtId="0" fontId="0" fillId="3" borderId="0" xfId="0" applyFill="1"/>
    <xf numFmtId="49" fontId="12" fillId="0" borderId="21" xfId="0" applyNumberFormat="1" applyFont="1" applyBorder="1"/>
    <xf numFmtId="49" fontId="0" fillId="0" borderId="21" xfId="0" applyNumberFormat="1" applyBorder="1"/>
    <xf numFmtId="49" fontId="29" fillId="13" borderId="21" xfId="0" applyNumberFormat="1" applyFont="1" applyFill="1" applyBorder="1"/>
    <xf numFmtId="9" fontId="0" fillId="0" borderId="0" xfId="2" applyFont="1"/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49" fontId="31" fillId="0" borderId="0" xfId="0" applyNumberFormat="1" applyFont="1" applyFill="1" applyBorder="1"/>
    <xf numFmtId="164" fontId="0" fillId="0" borderId="0" xfId="0" applyNumberFormat="1" applyFill="1" applyBorder="1"/>
    <xf numFmtId="49" fontId="0" fillId="0" borderId="0" xfId="0" applyNumberFormat="1" applyFill="1" applyBorder="1"/>
    <xf numFmtId="0" fontId="21" fillId="0" borderId="0" xfId="0" applyFont="1" applyFill="1" applyBorder="1"/>
    <xf numFmtId="3" fontId="0" fillId="0" borderId="0" xfId="0" applyNumberFormat="1" applyFill="1" applyBorder="1"/>
    <xf numFmtId="0" fontId="31" fillId="0" borderId="0" xfId="0" applyFont="1" applyFill="1" applyBorder="1"/>
    <xf numFmtId="0" fontId="0" fillId="0" borderId="0" xfId="0" applyFill="1" applyBorder="1" applyAlignment="1">
      <alignment horizontal="center"/>
    </xf>
    <xf numFmtId="164" fontId="30" fillId="0" borderId="0" xfId="0" applyNumberFormat="1" applyFont="1" applyFill="1" applyBorder="1"/>
    <xf numFmtId="164" fontId="2" fillId="0" borderId="0" xfId="0" applyNumberFormat="1" applyFont="1" applyFill="1" applyBorder="1"/>
    <xf numFmtId="1" fontId="0" fillId="0" borderId="0" xfId="0" applyNumberFormat="1" applyBorder="1"/>
    <xf numFmtId="0" fontId="28" fillId="0" borderId="0" xfId="0" applyFont="1" applyBorder="1" applyAlignment="1"/>
    <xf numFmtId="0" fontId="2" fillId="0" borderId="0" xfId="0" applyFont="1" applyFill="1" applyBorder="1"/>
    <xf numFmtId="3" fontId="2" fillId="0" borderId="0" xfId="0" applyNumberFormat="1" applyFont="1" applyFill="1" applyBorder="1"/>
    <xf numFmtId="10" fontId="0" fillId="0" borderId="0" xfId="2" applyNumberFormat="1" applyFont="1" applyFill="1" applyBorder="1"/>
    <xf numFmtId="1" fontId="0" fillId="0" borderId="0" xfId="0" applyNumberFormat="1" applyFill="1" applyBorder="1"/>
    <xf numFmtId="10" fontId="0" fillId="0" borderId="0" xfId="0" applyNumberFormat="1" applyFill="1" applyBorder="1"/>
    <xf numFmtId="167" fontId="0" fillId="0" borderId="0" xfId="0" applyNumberFormat="1"/>
    <xf numFmtId="168" fontId="11" fillId="23" borderId="0" xfId="0" applyNumberFormat="1" applyFont="1" applyFill="1" applyAlignment="1">
      <alignment horizontal="center"/>
    </xf>
    <xf numFmtId="49" fontId="19" fillId="0" borderId="21" xfId="0" applyNumberFormat="1" applyFont="1" applyBorder="1"/>
    <xf numFmtId="0" fontId="19" fillId="25" borderId="1" xfId="0" applyFont="1" applyFill="1" applyBorder="1"/>
    <xf numFmtId="164" fontId="14" fillId="24" borderId="2" xfId="0" applyNumberFormat="1" applyFont="1" applyFill="1" applyBorder="1"/>
    <xf numFmtId="164" fontId="14" fillId="24" borderId="3" xfId="0" applyNumberFormat="1" applyFont="1" applyFill="1" applyBorder="1"/>
    <xf numFmtId="2" fontId="32" fillId="6" borderId="2" xfId="0" applyNumberFormat="1" applyFont="1" applyFill="1" applyBorder="1"/>
    <xf numFmtId="2" fontId="32" fillId="6" borderId="50" xfId="0" applyNumberFormat="1" applyFont="1" applyFill="1" applyBorder="1"/>
    <xf numFmtId="2" fontId="32" fillId="26" borderId="50" xfId="0" applyNumberFormat="1" applyFont="1" applyFill="1" applyBorder="1"/>
    <xf numFmtId="3" fontId="14" fillId="24" borderId="3" xfId="0" applyNumberFormat="1" applyFont="1" applyFill="1" applyBorder="1"/>
    <xf numFmtId="0" fontId="19" fillId="25" borderId="4" xfId="0" applyFont="1" applyFill="1" applyBorder="1"/>
    <xf numFmtId="164" fontId="14" fillId="24" borderId="5" xfId="0" applyNumberFormat="1" applyFont="1" applyFill="1" applyBorder="1"/>
    <xf numFmtId="164" fontId="14" fillId="24" borderId="6" xfId="0" applyNumberFormat="1" applyFont="1" applyFill="1" applyBorder="1"/>
    <xf numFmtId="2" fontId="32" fillId="6" borderId="5" xfId="0" applyNumberFormat="1" applyFont="1" applyFill="1" applyBorder="1"/>
    <xf numFmtId="2" fontId="32" fillId="6" borderId="47" xfId="0" applyNumberFormat="1" applyFont="1" applyFill="1" applyBorder="1"/>
    <xf numFmtId="2" fontId="32" fillId="26" borderId="47" xfId="0" applyNumberFormat="1" applyFont="1" applyFill="1" applyBorder="1"/>
    <xf numFmtId="3" fontId="14" fillId="24" borderId="6" xfId="0" applyNumberFormat="1" applyFont="1" applyFill="1" applyBorder="1"/>
    <xf numFmtId="49" fontId="13" fillId="0" borderId="21" xfId="0" applyNumberFormat="1" applyFont="1" applyBorder="1"/>
    <xf numFmtId="0" fontId="13" fillId="0" borderId="7" xfId="0" applyFont="1" applyBorder="1"/>
    <xf numFmtId="164" fontId="13" fillId="0" borderId="8" xfId="0" applyNumberFormat="1" applyFont="1" applyBorder="1"/>
    <xf numFmtId="2" fontId="32" fillId="6" borderId="8" xfId="0" applyNumberFormat="1" applyFont="1" applyFill="1" applyBorder="1"/>
    <xf numFmtId="2" fontId="32" fillId="6" borderId="51" xfId="0" applyNumberFormat="1" applyFont="1" applyFill="1" applyBorder="1"/>
    <xf numFmtId="2" fontId="32" fillId="26" borderId="51" xfId="0" applyNumberFormat="1" applyFont="1" applyFill="1" applyBorder="1"/>
    <xf numFmtId="3" fontId="13" fillId="0" borderId="9" xfId="0" applyNumberFormat="1" applyFont="1" applyBorder="1"/>
    <xf numFmtId="0" fontId="19" fillId="25" borderId="7" xfId="0" applyFont="1" applyFill="1" applyBorder="1"/>
    <xf numFmtId="164" fontId="14" fillId="24" borderId="8" xfId="0" applyNumberFormat="1" applyFont="1" applyFill="1" applyBorder="1"/>
    <xf numFmtId="164" fontId="14" fillId="24" borderId="9" xfId="0" applyNumberFormat="1" applyFont="1" applyFill="1" applyBorder="1"/>
    <xf numFmtId="3" fontId="14" fillId="24" borderId="9" xfId="0" applyNumberFormat="1" applyFont="1" applyFill="1" applyBorder="1"/>
    <xf numFmtId="49" fontId="13" fillId="0" borderId="21" xfId="0" applyNumberFormat="1" applyFont="1" applyFill="1" applyBorder="1"/>
    <xf numFmtId="0" fontId="13" fillId="0" borderId="7" xfId="0" applyFont="1" applyFill="1" applyBorder="1"/>
    <xf numFmtId="164" fontId="13" fillId="0" borderId="8" xfId="0" applyNumberFormat="1" applyFont="1" applyFill="1" applyBorder="1"/>
    <xf numFmtId="3" fontId="13" fillId="0" borderId="0" xfId="0" applyNumberFormat="1" applyFont="1"/>
    <xf numFmtId="49" fontId="19" fillId="13" borderId="21" xfId="0" applyNumberFormat="1" applyFont="1" applyFill="1" applyBorder="1"/>
    <xf numFmtId="0" fontId="19" fillId="13" borderId="7" xfId="0" applyFont="1" applyFill="1" applyBorder="1"/>
    <xf numFmtId="164" fontId="14" fillId="13" borderId="8" xfId="0" applyNumberFormat="1" applyFont="1" applyFill="1" applyBorder="1"/>
    <xf numFmtId="164" fontId="14" fillId="13" borderId="9" xfId="0" applyNumberFormat="1" applyFont="1" applyFill="1" applyBorder="1"/>
    <xf numFmtId="2" fontId="32" fillId="13" borderId="8" xfId="0" applyNumberFormat="1" applyFont="1" applyFill="1" applyBorder="1"/>
    <xf numFmtId="2" fontId="32" fillId="13" borderId="51" xfId="0" applyNumberFormat="1" applyFont="1" applyFill="1" applyBorder="1"/>
    <xf numFmtId="49" fontId="19" fillId="2" borderId="21" xfId="0" applyNumberFormat="1" applyFont="1" applyFill="1" applyBorder="1"/>
    <xf numFmtId="0" fontId="19" fillId="2" borderId="1" xfId="0" applyFont="1" applyFill="1" applyBorder="1"/>
    <xf numFmtId="164" fontId="14" fillId="2" borderId="2" xfId="0" applyNumberFormat="1" applyFont="1" applyFill="1" applyBorder="1"/>
    <xf numFmtId="164" fontId="14" fillId="2" borderId="3" xfId="0" applyNumberFormat="1" applyFont="1" applyFill="1" applyBorder="1"/>
    <xf numFmtId="2" fontId="32" fillId="2" borderId="2" xfId="0" applyNumberFormat="1" applyFont="1" applyFill="1" applyBorder="1"/>
    <xf numFmtId="2" fontId="32" fillId="2" borderId="50" xfId="0" applyNumberFormat="1" applyFont="1" applyFill="1" applyBorder="1"/>
    <xf numFmtId="3" fontId="14" fillId="2" borderId="3" xfId="0" applyNumberFormat="1" applyFont="1" applyFill="1" applyBorder="1"/>
    <xf numFmtId="0" fontId="19" fillId="2" borderId="7" xfId="0" applyFont="1" applyFill="1" applyBorder="1"/>
    <xf numFmtId="164" fontId="14" fillId="2" borderId="8" xfId="0" applyNumberFormat="1" applyFont="1" applyFill="1" applyBorder="1"/>
    <xf numFmtId="164" fontId="14" fillId="2" borderId="9" xfId="0" applyNumberFormat="1" applyFont="1" applyFill="1" applyBorder="1"/>
    <xf numFmtId="2" fontId="32" fillId="2" borderId="8" xfId="0" applyNumberFormat="1" applyFont="1" applyFill="1" applyBorder="1"/>
    <xf numFmtId="2" fontId="32" fillId="2" borderId="51" xfId="0" applyNumberFormat="1" applyFont="1" applyFill="1" applyBorder="1"/>
    <xf numFmtId="3" fontId="14" fillId="2" borderId="9" xfId="0" applyNumberFormat="1" applyFont="1" applyFill="1" applyBorder="1"/>
    <xf numFmtId="49" fontId="12" fillId="2" borderId="21" xfId="0" applyNumberFormat="1" applyFont="1" applyFill="1" applyBorder="1"/>
    <xf numFmtId="0" fontId="26" fillId="2" borderId="1" xfId="0" applyFont="1" applyFill="1" applyBorder="1"/>
    <xf numFmtId="164" fontId="24" fillId="2" borderId="16" xfId="0" applyNumberFormat="1" applyFont="1" applyFill="1" applyBorder="1"/>
    <xf numFmtId="164" fontId="24" fillId="2" borderId="17" xfId="0" applyNumberFormat="1" applyFont="1" applyFill="1" applyBorder="1"/>
    <xf numFmtId="164" fontId="24" fillId="2" borderId="3" xfId="0" applyNumberFormat="1" applyFont="1" applyFill="1" applyBorder="1"/>
    <xf numFmtId="2" fontId="25" fillId="2" borderId="31" xfId="0" applyNumberFormat="1" applyFont="1" applyFill="1" applyBorder="1"/>
    <xf numFmtId="2" fontId="24" fillId="2" borderId="1" xfId="0" applyNumberFormat="1" applyFont="1" applyFill="1" applyBorder="1"/>
    <xf numFmtId="3" fontId="24" fillId="2" borderId="2" xfId="0" applyNumberFormat="1" applyFont="1" applyFill="1" applyBorder="1"/>
    <xf numFmtId="2" fontId="25" fillId="2" borderId="2" xfId="0" applyNumberFormat="1" applyFont="1" applyFill="1" applyBorder="1"/>
    <xf numFmtId="2" fontId="25" fillId="2" borderId="45" xfId="0" applyNumberFormat="1" applyFont="1" applyFill="1" applyBorder="1"/>
    <xf numFmtId="2" fontId="24" fillId="2" borderId="7" xfId="0" applyNumberFormat="1" applyFont="1" applyFill="1" applyBorder="1"/>
    <xf numFmtId="0" fontId="26" fillId="2" borderId="13" xfId="0" applyFont="1" applyFill="1" applyBorder="1"/>
    <xf numFmtId="164" fontId="24" fillId="2" borderId="24" xfId="0" applyNumberFormat="1" applyFont="1" applyFill="1" applyBorder="1"/>
    <xf numFmtId="164" fontId="24" fillId="2" borderId="25" xfId="0" applyNumberFormat="1" applyFont="1" applyFill="1" applyBorder="1"/>
    <xf numFmtId="164" fontId="24" fillId="2" borderId="15" xfId="0" applyNumberFormat="1" applyFont="1" applyFill="1" applyBorder="1"/>
    <xf numFmtId="2" fontId="25" fillId="2" borderId="14" xfId="0" applyNumberFormat="1" applyFont="1" applyFill="1" applyBorder="1"/>
    <xf numFmtId="2" fontId="25" fillId="2" borderId="53" xfId="0" applyNumberFormat="1" applyFont="1" applyFill="1" applyBorder="1"/>
    <xf numFmtId="2" fontId="24" fillId="2" borderId="13" xfId="0" applyNumberFormat="1" applyFont="1" applyFill="1" applyBorder="1"/>
    <xf numFmtId="164" fontId="24" fillId="2" borderId="21" xfId="0" applyNumberFormat="1" applyFont="1" applyFill="1" applyBorder="1"/>
    <xf numFmtId="3" fontId="24" fillId="2" borderId="21" xfId="0" applyNumberFormat="1" applyFont="1" applyFill="1" applyBorder="1"/>
    <xf numFmtId="0" fontId="19" fillId="3" borderId="2" xfId="1" applyFont="1" applyFill="1" applyBorder="1" applyAlignment="1">
      <alignment horizontal="center"/>
    </xf>
    <xf numFmtId="0" fontId="19" fillId="3" borderId="3" xfId="1" applyFont="1" applyFill="1" applyBorder="1" applyAlignment="1">
      <alignment horizontal="center"/>
    </xf>
    <xf numFmtId="3" fontId="19" fillId="3" borderId="3" xfId="1" applyNumberFormat="1" applyFont="1" applyFill="1" applyBorder="1" applyAlignment="1">
      <alignment horizontal="center"/>
    </xf>
    <xf numFmtId="0" fontId="33" fillId="3" borderId="2" xfId="1" applyFont="1" applyFill="1" applyBorder="1" applyAlignment="1">
      <alignment horizontal="center"/>
    </xf>
    <xf numFmtId="0" fontId="33" fillId="3" borderId="3" xfId="1" applyFont="1" applyFill="1" applyBorder="1" applyAlignment="1">
      <alignment horizontal="center"/>
    </xf>
    <xf numFmtId="0" fontId="19" fillId="3" borderId="1" xfId="1" applyFont="1" applyFill="1" applyBorder="1"/>
    <xf numFmtId="0" fontId="19" fillId="3" borderId="2" xfId="3" applyFont="1" applyFill="1" applyBorder="1" applyAlignment="1">
      <alignment horizontal="center"/>
    </xf>
    <xf numFmtId="0" fontId="19" fillId="3" borderId="50" xfId="3" applyFont="1" applyFill="1" applyBorder="1" applyAlignment="1">
      <alignment horizontal="center"/>
    </xf>
    <xf numFmtId="0" fontId="14" fillId="27" borderId="37" xfId="0" applyFont="1" applyFill="1" applyBorder="1"/>
    <xf numFmtId="0" fontId="14" fillId="27" borderId="0" xfId="0" applyFont="1" applyFill="1" applyBorder="1" applyAlignment="1">
      <alignment horizontal="center"/>
    </xf>
    <xf numFmtId="0" fontId="14" fillId="27" borderId="38" xfId="0" applyFont="1" applyFill="1" applyBorder="1" applyAlignment="1">
      <alignment horizontal="center"/>
    </xf>
    <xf numFmtId="0" fontId="13" fillId="0" borderId="37" xfId="0" applyFont="1" applyBorder="1"/>
    <xf numFmtId="0" fontId="13" fillId="0" borderId="52" xfId="0" applyFont="1" applyBorder="1"/>
    <xf numFmtId="164" fontId="13" fillId="0" borderId="0" xfId="0" applyNumberFormat="1" applyFont="1" applyBorder="1" applyAlignment="1">
      <alignment horizontal="right"/>
    </xf>
    <xf numFmtId="164" fontId="13" fillId="0" borderId="38" xfId="0" applyNumberFormat="1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3" fillId="0" borderId="38" xfId="0" applyFont="1" applyBorder="1" applyAlignment="1">
      <alignment horizontal="right"/>
    </xf>
    <xf numFmtId="1" fontId="13" fillId="0" borderId="0" xfId="0" applyNumberFormat="1" applyFont="1" applyBorder="1" applyAlignment="1">
      <alignment horizontal="right"/>
    </xf>
    <xf numFmtId="1" fontId="13" fillId="0" borderId="38" xfId="0" applyNumberFormat="1" applyFont="1" applyBorder="1" applyAlignment="1">
      <alignment horizontal="right"/>
    </xf>
    <xf numFmtId="4" fontId="13" fillId="0" borderId="0" xfId="0" applyNumberFormat="1" applyFont="1" applyBorder="1" applyAlignment="1">
      <alignment horizontal="right"/>
    </xf>
    <xf numFmtId="4" fontId="13" fillId="0" borderId="38" xfId="0" applyNumberFormat="1" applyFont="1" applyBorder="1" applyAlignment="1">
      <alignment horizontal="right"/>
    </xf>
    <xf numFmtId="0" fontId="13" fillId="0" borderId="61" xfId="0" applyFont="1" applyBorder="1" applyAlignment="1">
      <alignment horizontal="right"/>
    </xf>
    <xf numFmtId="0" fontId="13" fillId="0" borderId="49" xfId="0" applyFont="1" applyBorder="1" applyAlignment="1">
      <alignment horizontal="right"/>
    </xf>
    <xf numFmtId="3" fontId="13" fillId="0" borderId="9" xfId="0" applyNumberFormat="1" applyFont="1" applyFill="1" applyBorder="1"/>
    <xf numFmtId="164" fontId="14" fillId="25" borderId="9" xfId="0" applyNumberFormat="1" applyFont="1" applyFill="1" applyBorder="1"/>
    <xf numFmtId="2" fontId="32" fillId="25" borderId="8" xfId="0" applyNumberFormat="1" applyFont="1" applyFill="1" applyBorder="1"/>
    <xf numFmtId="2" fontId="32" fillId="25" borderId="51" xfId="0" applyNumberFormat="1" applyFont="1" applyFill="1" applyBorder="1"/>
    <xf numFmtId="3" fontId="14" fillId="25" borderId="9" xfId="0" applyNumberFormat="1" applyFont="1" applyFill="1" applyBorder="1"/>
    <xf numFmtId="0" fontId="33" fillId="3" borderId="31" xfId="3" applyFont="1" applyFill="1" applyBorder="1" applyAlignment="1">
      <alignment horizontal="center"/>
    </xf>
    <xf numFmtId="0" fontId="33" fillId="3" borderId="1" xfId="0" applyFont="1" applyFill="1" applyBorder="1"/>
    <xf numFmtId="3" fontId="19" fillId="3" borderId="2" xfId="1" applyNumberFormat="1" applyFont="1" applyFill="1" applyBorder="1" applyAlignment="1">
      <alignment horizontal="center"/>
    </xf>
    <xf numFmtId="0" fontId="14" fillId="5" borderId="58" xfId="0" applyFont="1" applyFill="1" applyBorder="1" applyAlignment="1"/>
    <xf numFmtId="0" fontId="14" fillId="5" borderId="59" xfId="0" applyFont="1" applyFill="1" applyBorder="1" applyAlignment="1"/>
    <xf numFmtId="0" fontId="14" fillId="5" borderId="60" xfId="0" applyFont="1" applyFill="1" applyBorder="1" applyAlignment="1"/>
    <xf numFmtId="0" fontId="13" fillId="6" borderId="55" xfId="0" applyFont="1" applyFill="1" applyBorder="1"/>
    <xf numFmtId="0" fontId="14" fillId="6" borderId="56" xfId="0" applyFont="1" applyFill="1" applyBorder="1" applyAlignment="1">
      <alignment horizontal="center"/>
    </xf>
    <xf numFmtId="0" fontId="14" fillId="6" borderId="57" xfId="0" applyFont="1" applyFill="1" applyBorder="1" applyAlignment="1">
      <alignment horizontal="center"/>
    </xf>
    <xf numFmtId="0" fontId="13" fillId="0" borderId="8" xfId="0" applyFont="1" applyBorder="1"/>
    <xf numFmtId="164" fontId="13" fillId="0" borderId="51" xfId="0" applyNumberFormat="1" applyFont="1" applyBorder="1"/>
    <xf numFmtId="0" fontId="13" fillId="0" borderId="51" xfId="0" applyFont="1" applyBorder="1"/>
    <xf numFmtId="0" fontId="13" fillId="0" borderId="11" xfId="0" applyFont="1" applyBorder="1"/>
    <xf numFmtId="1" fontId="13" fillId="0" borderId="12" xfId="0" applyNumberFormat="1" applyFont="1" applyBorder="1"/>
    <xf numFmtId="1" fontId="13" fillId="0" borderId="39" xfId="0" applyNumberFormat="1" applyFont="1" applyBorder="1"/>
    <xf numFmtId="0" fontId="13" fillId="0" borderId="55" xfId="0" applyFont="1" applyBorder="1"/>
    <xf numFmtId="0" fontId="13" fillId="0" borderId="56" xfId="0" applyFont="1" applyBorder="1"/>
    <xf numFmtId="0" fontId="13" fillId="0" borderId="57" xfId="0" applyFont="1" applyBorder="1"/>
    <xf numFmtId="0" fontId="13" fillId="0" borderId="14" xfId="0" applyFont="1" applyBorder="1"/>
    <xf numFmtId="0" fontId="13" fillId="0" borderId="15" xfId="0" applyFont="1" applyBorder="1"/>
    <xf numFmtId="0" fontId="13" fillId="0" borderId="54" xfId="0" applyFont="1" applyBorder="1"/>
    <xf numFmtId="0" fontId="34" fillId="4" borderId="53" xfId="1" applyFont="1" applyBorder="1"/>
    <xf numFmtId="0" fontId="34" fillId="4" borderId="15" xfId="1" applyFont="1" applyBorder="1" applyAlignment="1">
      <alignment horizontal="center"/>
    </xf>
    <xf numFmtId="0" fontId="27" fillId="6" borderId="14" xfId="3" applyFont="1" applyFill="1" applyBorder="1" applyAlignment="1">
      <alignment horizontal="center"/>
    </xf>
    <xf numFmtId="0" fontId="27" fillId="6" borderId="15" xfId="3" applyFont="1" applyFill="1" applyBorder="1" applyAlignment="1">
      <alignment horizontal="center"/>
    </xf>
    <xf numFmtId="0" fontId="27" fillId="26" borderId="54" xfId="0" applyFont="1" applyFill="1" applyBorder="1"/>
    <xf numFmtId="0" fontId="34" fillId="4" borderId="36" xfId="1" applyFont="1" applyBorder="1" applyAlignment="1">
      <alignment horizontal="center"/>
    </xf>
    <xf numFmtId="0" fontId="34" fillId="4" borderId="12" xfId="1" applyFont="1" applyBorder="1" applyAlignment="1">
      <alignment horizontal="center"/>
    </xf>
    <xf numFmtId="49" fontId="19" fillId="0" borderId="62" xfId="0" applyNumberFormat="1" applyFont="1" applyBorder="1"/>
    <xf numFmtId="0" fontId="19" fillId="25" borderId="52" xfId="0" applyFont="1" applyFill="1" applyBorder="1"/>
    <xf numFmtId="164" fontId="13" fillId="24" borderId="6" xfId="0" applyNumberFormat="1" applyFont="1" applyFill="1" applyBorder="1"/>
    <xf numFmtId="2" fontId="13" fillId="6" borderId="5" xfId="0" applyNumberFormat="1" applyFont="1" applyFill="1" applyBorder="1"/>
    <xf numFmtId="2" fontId="13" fillId="6" borderId="6" xfId="0" applyNumberFormat="1" applyFont="1" applyFill="1" applyBorder="1"/>
    <xf numFmtId="2" fontId="13" fillId="26" borderId="47" xfId="0" applyNumberFormat="1" applyFont="1" applyFill="1" applyBorder="1"/>
    <xf numFmtId="164" fontId="13" fillId="24" borderId="34" xfId="0" applyNumberFormat="1" applyFont="1" applyFill="1" applyBorder="1"/>
    <xf numFmtId="164" fontId="13" fillId="24" borderId="9" xfId="0" applyNumberFormat="1" applyFont="1" applyFill="1" applyBorder="1"/>
    <xf numFmtId="0" fontId="19" fillId="25" borderId="32" xfId="0" applyFont="1" applyFill="1" applyBorder="1"/>
    <xf numFmtId="2" fontId="13" fillId="6" borderId="8" xfId="0" applyNumberFormat="1" applyFont="1" applyFill="1" applyBorder="1"/>
    <xf numFmtId="2" fontId="13" fillId="6" borderId="9" xfId="0" applyNumberFormat="1" applyFont="1" applyFill="1" applyBorder="1"/>
    <xf numFmtId="2" fontId="13" fillId="26" borderId="51" xfId="0" applyNumberFormat="1" applyFont="1" applyFill="1" applyBorder="1"/>
    <xf numFmtId="49" fontId="13" fillId="0" borderId="62" xfId="0" applyNumberFormat="1" applyFont="1" applyBorder="1"/>
    <xf numFmtId="0" fontId="13" fillId="0" borderId="32" xfId="0" applyFont="1" applyBorder="1"/>
    <xf numFmtId="164" fontId="13" fillId="0" borderId="34" xfId="0" applyNumberFormat="1" applyFont="1" applyBorder="1"/>
    <xf numFmtId="0" fontId="19" fillId="0" borderId="32" xfId="0" applyFont="1" applyBorder="1"/>
    <xf numFmtId="164" fontId="14" fillId="0" borderId="9" xfId="0" applyNumberFormat="1" applyFont="1" applyBorder="1"/>
    <xf numFmtId="2" fontId="14" fillId="6" borderId="8" xfId="0" applyNumberFormat="1" applyFont="1" applyFill="1" applyBorder="1"/>
    <xf numFmtId="2" fontId="14" fillId="6" borderId="9" xfId="0" applyNumberFormat="1" applyFont="1" applyFill="1" applyBorder="1"/>
    <xf numFmtId="2" fontId="14" fillId="26" borderId="51" xfId="0" applyNumberFormat="1" applyFont="1" applyFill="1" applyBorder="1"/>
    <xf numFmtId="164" fontId="14" fillId="0" borderId="34" xfId="0" applyNumberFormat="1" applyFont="1" applyBorder="1"/>
    <xf numFmtId="3" fontId="14" fillId="0" borderId="9" xfId="0" applyNumberFormat="1" applyFont="1" applyBorder="1"/>
    <xf numFmtId="164" fontId="13" fillId="6" borderId="8" xfId="0" applyNumberFormat="1" applyFont="1" applyFill="1" applyBorder="1"/>
    <xf numFmtId="164" fontId="13" fillId="6" borderId="9" xfId="0" applyNumberFormat="1" applyFont="1" applyFill="1" applyBorder="1"/>
    <xf numFmtId="2" fontId="13" fillId="0" borderId="8" xfId="0" applyNumberFormat="1" applyFont="1" applyBorder="1"/>
    <xf numFmtId="2" fontId="13" fillId="0" borderId="9" xfId="0" applyNumberFormat="1" applyFont="1" applyBorder="1"/>
    <xf numFmtId="2" fontId="13" fillId="0" borderId="51" xfId="0" applyNumberFormat="1" applyFont="1" applyBorder="1"/>
    <xf numFmtId="0" fontId="19" fillId="24" borderId="32" xfId="0" applyFont="1" applyFill="1" applyBorder="1"/>
    <xf numFmtId="0" fontId="35" fillId="0" borderId="9" xfId="0" applyFont="1" applyBorder="1"/>
    <xf numFmtId="164" fontId="35" fillId="0" borderId="9" xfId="0" applyNumberFormat="1" applyFont="1" applyBorder="1"/>
    <xf numFmtId="0" fontId="14" fillId="0" borderId="9" xfId="0" applyFont="1" applyBorder="1"/>
    <xf numFmtId="0" fontId="14" fillId="5" borderId="33" xfId="0" applyFont="1" applyFill="1" applyBorder="1"/>
    <xf numFmtId="0" fontId="14" fillId="5" borderId="35" xfId="0" applyFont="1" applyFill="1" applyBorder="1"/>
    <xf numFmtId="0" fontId="14" fillId="5" borderId="36" xfId="0" applyFont="1" applyFill="1" applyBorder="1"/>
    <xf numFmtId="0" fontId="14" fillId="5" borderId="12" xfId="0" applyFont="1" applyFill="1" applyBorder="1"/>
    <xf numFmtId="0" fontId="14" fillId="5" borderId="9" xfId="0" applyFont="1" applyFill="1" applyBorder="1" applyAlignment="1">
      <alignment horizontal="center"/>
    </xf>
    <xf numFmtId="44" fontId="0" fillId="0" borderId="0" xfId="4" applyFont="1"/>
    <xf numFmtId="44" fontId="0" fillId="0" borderId="0" xfId="4" applyFont="1" applyFill="1" applyBorder="1"/>
    <xf numFmtId="0" fontId="36" fillId="0" borderId="0" xfId="0" applyFont="1"/>
    <xf numFmtId="0" fontId="37" fillId="0" borderId="0" xfId="0" applyFont="1" applyAlignment="1">
      <alignment horizontal="center"/>
    </xf>
    <xf numFmtId="0" fontId="38" fillId="3" borderId="0" xfId="0" applyFont="1" applyFill="1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/>
    <xf numFmtId="2" fontId="39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top" wrapText="1"/>
    </xf>
    <xf numFmtId="0" fontId="39" fillId="0" borderId="0" xfId="0" applyFont="1" applyAlignment="1">
      <alignment horizontal="center"/>
    </xf>
    <xf numFmtId="2" fontId="13" fillId="0" borderId="0" xfId="0" applyNumberFormat="1" applyFont="1" applyBorder="1" applyAlignment="1">
      <alignment horizontal="center" vertical="top" wrapText="1"/>
    </xf>
    <xf numFmtId="0" fontId="14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2" fontId="17" fillId="0" borderId="0" xfId="0" applyNumberFormat="1" applyFont="1" applyAlignment="1">
      <alignment horizontal="center"/>
    </xf>
    <xf numFmtId="2" fontId="17" fillId="0" borderId="0" xfId="0" applyNumberFormat="1" applyFont="1" applyBorder="1" applyAlignment="1">
      <alignment horizontal="center" vertical="top" wrapText="1"/>
    </xf>
    <xf numFmtId="0" fontId="15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center"/>
    </xf>
    <xf numFmtId="0" fontId="38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2" fontId="4" fillId="3" borderId="0" xfId="0" applyNumberFormat="1" applyFont="1" applyFill="1" applyAlignment="1">
      <alignment horizontal="center" vertical="top" wrapText="1"/>
    </xf>
    <xf numFmtId="0" fontId="38" fillId="0" borderId="0" xfId="0" applyFont="1" applyAlignment="1">
      <alignment horizontal="center"/>
    </xf>
    <xf numFmtId="0" fontId="6" fillId="10" borderId="45" xfId="0" applyFont="1" applyFill="1" applyBorder="1" applyAlignment="1">
      <alignment horizontal="center" vertical="center" wrapText="1"/>
    </xf>
    <xf numFmtId="0" fontId="6" fillId="10" borderId="30" xfId="0" applyFont="1" applyFill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40" xfId="0" applyFont="1" applyFill="1" applyBorder="1" applyAlignment="1">
      <alignment horizontal="center" vertical="center"/>
    </xf>
    <xf numFmtId="0" fontId="6" fillId="8" borderId="41" xfId="0" applyFont="1" applyFill="1" applyBorder="1" applyAlignment="1">
      <alignment horizontal="center" vertical="center"/>
    </xf>
    <xf numFmtId="0" fontId="6" fillId="8" borderId="42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17" borderId="0" xfId="0" applyFont="1" applyFill="1" applyAlignment="1">
      <alignment horizontal="center"/>
    </xf>
    <xf numFmtId="0" fontId="6" fillId="15" borderId="0" xfId="0" applyFont="1" applyFill="1" applyAlignment="1">
      <alignment horizontal="center"/>
    </xf>
    <xf numFmtId="0" fontId="7" fillId="22" borderId="0" xfId="0" applyFont="1" applyFill="1" applyAlignment="1">
      <alignment horizontal="center"/>
    </xf>
    <xf numFmtId="0" fontId="8" fillId="22" borderId="0" xfId="0" applyFont="1" applyFill="1" applyAlignment="1">
      <alignment horizontal="center"/>
    </xf>
    <xf numFmtId="0" fontId="14" fillId="2" borderId="33" xfId="0" applyFont="1" applyFill="1" applyBorder="1" applyAlignment="1">
      <alignment horizontal="center"/>
    </xf>
    <xf numFmtId="0" fontId="14" fillId="2" borderId="35" xfId="0" applyFont="1" applyFill="1" applyBorder="1" applyAlignment="1">
      <alignment horizontal="center"/>
    </xf>
    <xf numFmtId="0" fontId="14" fillId="2" borderId="36" xfId="0" applyFont="1" applyFill="1" applyBorder="1" applyAlignment="1">
      <alignment horizontal="center"/>
    </xf>
    <xf numFmtId="0" fontId="11" fillId="22" borderId="0" xfId="0" applyFont="1" applyFill="1" applyAlignment="1">
      <alignment horizontal="center"/>
    </xf>
  </cellXfs>
  <cellStyles count="5">
    <cellStyle name="40 % - zvýraznenie3" xfId="3" builtinId="39"/>
    <cellStyle name="Dobrá" xfId="1" builtinId="26"/>
    <cellStyle name="Mena" xfId="4" builtinId="4"/>
    <cellStyle name="Normálna" xfId="0" builtinId="0"/>
    <cellStyle name="Percentá" xfId="2" builtinId="5"/>
  </cellStyles>
  <dxfs count="0"/>
  <tableStyles count="0" defaultTableStyle="TableStyleMedium2" defaultPivotStyle="PivotStyleLight16"/>
  <colors>
    <mruColors>
      <color rgb="FFA8D08C"/>
      <color rgb="FF4D7731"/>
      <color rgb="FF7CB953"/>
      <color rgb="FFDBECD0"/>
      <color rgb="FF00DA63"/>
      <color rgb="FFD9FFD9"/>
      <color rgb="FFCCE4BE"/>
      <color rgb="FFAFD498"/>
      <color rgb="FFD7EACC"/>
      <color rgb="FFDFE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ika%20-%20D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2;kola%20-%20BA\5.%20ro&#269;n&#237;k%20-%20Zimn&#253;%20semester\FAFP%20-%20Dr.%20Oetker\Dr.-Oetke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&#243;pia%20-%20Obraz%204_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uzana/AppData/Local/Temp/Temp2_Re__DP.zip/Obraz%204_2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uzana/AppData/Local/Temp/Temp2_Re__DP.zip/Obraz%204_2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uzana/AppData/Local/Temp/Temp2_Re__DP.zip/Obraz%204_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edné hodnoty"/>
      <sheetName val="Odvetvie"/>
      <sheetName val="Komparácia odvetvia a podniku"/>
      <sheetName val="Pavučinové grafy"/>
      <sheetName val="Súvaha"/>
      <sheetName val="VZaS"/>
      <sheetName val="Ukazovatele"/>
      <sheetName val="Pyramidálny rozklad"/>
      <sheetName val="Súvaha , VZaS - Simulácia "/>
      <sheetName val="Skutočný PR"/>
      <sheetName val="Simulácia PR"/>
    </sheetNames>
    <sheetDataSet>
      <sheetData sheetId="0" refreshError="1"/>
      <sheetData sheetId="1" refreshError="1"/>
      <sheetData sheetId="2">
        <row r="2">
          <cell r="J2">
            <v>2.98</v>
          </cell>
        </row>
        <row r="3">
          <cell r="J3">
            <v>29.04</v>
          </cell>
        </row>
        <row r="4">
          <cell r="J4">
            <v>2.87</v>
          </cell>
        </row>
        <row r="5">
          <cell r="J5">
            <v>29.11</v>
          </cell>
        </row>
        <row r="6">
          <cell r="J6">
            <v>24.47</v>
          </cell>
        </row>
        <row r="7">
          <cell r="J7">
            <v>36.25</v>
          </cell>
        </row>
        <row r="9">
          <cell r="J9">
            <v>1.1000000000000001</v>
          </cell>
        </row>
        <row r="10">
          <cell r="J10">
            <v>30.21</v>
          </cell>
        </row>
        <row r="11">
          <cell r="J11">
            <v>47.39</v>
          </cell>
        </row>
        <row r="12">
          <cell r="J12">
            <v>10.51</v>
          </cell>
        </row>
        <row r="13">
          <cell r="J13">
            <v>0.05</v>
          </cell>
        </row>
        <row r="17">
          <cell r="D17">
            <v>2.83</v>
          </cell>
        </row>
        <row r="18">
          <cell r="D18">
            <v>32.909999999999997</v>
          </cell>
        </row>
        <row r="19">
          <cell r="D19">
            <v>2.5499999999999998</v>
          </cell>
        </row>
        <row r="20">
          <cell r="D20">
            <v>64.33</v>
          </cell>
        </row>
        <row r="21">
          <cell r="D21">
            <v>30.43</v>
          </cell>
        </row>
        <row r="22">
          <cell r="D22">
            <v>38.75</v>
          </cell>
        </row>
        <row r="24">
          <cell r="D24">
            <v>1.21</v>
          </cell>
        </row>
        <row r="25">
          <cell r="D25">
            <v>29.49</v>
          </cell>
        </row>
        <row r="26">
          <cell r="D26">
            <v>48.15</v>
          </cell>
        </row>
        <row r="27">
          <cell r="D27">
            <v>11.55</v>
          </cell>
        </row>
        <row r="28">
          <cell r="D28">
            <v>0.05</v>
          </cell>
        </row>
      </sheetData>
      <sheetData sheetId="3" refreshError="1"/>
      <sheetData sheetId="4" refreshError="1"/>
      <sheetData sheetId="5" refreshError="1"/>
      <sheetData sheetId="6">
        <row r="4">
          <cell r="E4">
            <v>2.81</v>
          </cell>
        </row>
        <row r="6">
          <cell r="E6">
            <v>19.66</v>
          </cell>
        </row>
        <row r="7">
          <cell r="E7">
            <v>2.66</v>
          </cell>
        </row>
        <row r="8">
          <cell r="E8">
            <v>27.13</v>
          </cell>
        </row>
        <row r="9">
          <cell r="E9">
            <v>25.64</v>
          </cell>
        </row>
        <row r="11">
          <cell r="E11">
            <v>38.880000000000003</v>
          </cell>
        </row>
        <row r="13">
          <cell r="E13">
            <v>1.0900000000000001</v>
          </cell>
        </row>
        <row r="15">
          <cell r="E15">
            <v>33.619999999999997</v>
          </cell>
        </row>
        <row r="16">
          <cell r="E16">
            <v>55</v>
          </cell>
        </row>
        <row r="17">
          <cell r="E17">
            <v>12.64</v>
          </cell>
        </row>
        <row r="18">
          <cell r="E18">
            <v>0.27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 - A"/>
      <sheetName val="HA - P"/>
      <sheetName val="Aktíva"/>
      <sheetName val="Pasíva"/>
      <sheetName val="VzAS"/>
      <sheetName val="analýza VZaS"/>
      <sheetName val="SWOT analýza"/>
      <sheetName val="plán Aktíva "/>
      <sheetName val="plán Pasíva"/>
      <sheetName val="plán VZaS"/>
      <sheetName val="Investičný projekt I"/>
      <sheetName val="Investičný projekt II"/>
      <sheetName val="DD plán"/>
      <sheetName val="DD vzas, súvaha"/>
      <sheetName val="Ročný plán"/>
      <sheetName val="Hárok1"/>
      <sheetName val="FPU"/>
      <sheetName val="ZBP"/>
      <sheetName val="HGN model"/>
      <sheetName val="Hárok2"/>
      <sheetName val="Hárok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9">
          <cell r="B19">
            <v>87000</v>
          </cell>
          <cell r="D19">
            <v>2610</v>
          </cell>
        </row>
      </sheetData>
      <sheetData sheetId="11"/>
      <sheetData sheetId="12">
        <row r="48">
          <cell r="B48">
            <v>247236</v>
          </cell>
        </row>
      </sheetData>
      <sheetData sheetId="13">
        <row r="3">
          <cell r="AC3">
            <v>2018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  <sheetName val="Hárok2"/>
      <sheetName val="Hárok3"/>
    </sheetNames>
    <sheetDataSet>
      <sheetData sheetId="0">
        <row r="9">
          <cell r="H9">
            <v>0.12499956863728984</v>
          </cell>
          <cell r="I9">
            <v>1.4849225897537857E-2</v>
          </cell>
          <cell r="J9">
            <v>2.3810111540402104</v>
          </cell>
          <cell r="K9">
            <v>0.72284421296795665</v>
          </cell>
        </row>
        <row r="10">
          <cell r="H10">
            <v>-8.2696325047136657E-3</v>
          </cell>
          <cell r="I10">
            <v>-9.0923676824529696E-3</v>
          </cell>
          <cell r="J10">
            <v>-0.15752124145861074</v>
          </cell>
          <cell r="K10">
            <v>-0.44260659826905602</v>
          </cell>
        </row>
        <row r="11">
          <cell r="H11">
            <v>-6.4231413215039751E-2</v>
          </cell>
          <cell r="I11">
            <v>1.4785916605741016E-2</v>
          </cell>
          <cell r="J11">
            <v>-1.2234899125815997</v>
          </cell>
          <cell r="K11">
            <v>0.71976238530109937</v>
          </cell>
        </row>
        <row r="19">
          <cell r="C19">
            <v>28789811</v>
          </cell>
          <cell r="D19">
            <v>28886701</v>
          </cell>
          <cell r="E19">
            <v>30210148.110000003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  <sheetName val="Hárok2"/>
      <sheetName val="Hárok3"/>
    </sheetNames>
    <sheetDataSet>
      <sheetData sheetId="0">
        <row r="10">
          <cell r="E10">
            <v>0.77391576018335206</v>
          </cell>
          <cell r="H10">
            <v>1.0431527902205445E-2</v>
          </cell>
          <cell r="I10">
            <v>-1.169331276346039E-2</v>
          </cell>
          <cell r="J10">
            <v>0.34076410478321301</v>
          </cell>
          <cell r="K10">
            <v>-3.0347658378289477</v>
          </cell>
        </row>
        <row r="11">
          <cell r="E11">
            <v>0.20636126870573543</v>
          </cell>
          <cell r="H11">
            <v>1.9341244254259888E-2</v>
          </cell>
          <cell r="I11">
            <v>1.6018229535842136E-2</v>
          </cell>
          <cell r="J11">
            <v>0.63181557346962547</v>
          </cell>
          <cell r="K11">
            <v>4.1572116269547879</v>
          </cell>
        </row>
        <row r="12">
          <cell r="E12">
            <v>0.99256754674143988</v>
          </cell>
          <cell r="H12">
            <v>8.3939548613823529E-4</v>
          </cell>
          <cell r="I12">
            <v>-4.7179815027885972E-4</v>
          </cell>
          <cell r="J12">
            <v>2.7420321747161469E-2</v>
          </cell>
          <cell r="K12">
            <v>-0.12244578912584062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  <sheetName val="Hárok2"/>
      <sheetName val="Hárok3"/>
    </sheetNames>
    <sheetDataSet>
      <sheetData sheetId="0">
        <row r="9">
          <cell r="E9">
            <v>6.6671503650565844E-2</v>
          </cell>
          <cell r="H9">
            <v>-1.1342860905807634E-3</v>
          </cell>
          <cell r="I9">
            <v>5.0777386254807766E-5</v>
          </cell>
          <cell r="J9">
            <v>-0.20906248190693244</v>
          </cell>
          <cell r="K9">
            <v>8.9007434133604908E-3</v>
          </cell>
        </row>
        <row r="10">
          <cell r="E10">
            <v>0.31947906678044335</v>
          </cell>
          <cell r="H10">
            <v>5.8867245369008669E-3</v>
          </cell>
          <cell r="I10">
            <v>5.7282857549465493E-3</v>
          </cell>
          <cell r="J10">
            <v>1.0849936821113693</v>
          </cell>
          <cell r="K10">
            <v>1.0041084321932721</v>
          </cell>
        </row>
        <row r="11">
          <cell r="E11">
            <v>1.1050816394027932E-3</v>
          </cell>
          <cell r="H11">
            <v>6.7314571509681335E-4</v>
          </cell>
          <cell r="I11">
            <v>-7.4215366510066091E-5</v>
          </cell>
          <cell r="J11">
            <v>0.12406879979556305</v>
          </cell>
          <cell r="K11">
            <v>-1.3009175606632579E-2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árok1"/>
      <sheetName val="Hárok2"/>
      <sheetName val="Hárok3"/>
    </sheetNames>
    <sheetDataSet>
      <sheetData sheetId="0">
        <row r="10">
          <cell r="E10">
            <v>2.0021728585923593</v>
          </cell>
          <cell r="H10">
            <v>0.20616004490890916</v>
          </cell>
          <cell r="I10">
            <v>-5.016086827239858E-2</v>
          </cell>
          <cell r="J10">
            <v>2.8643536557732081</v>
          </cell>
          <cell r="K10">
            <v>-3.0793532901387182</v>
          </cell>
        </row>
        <row r="11">
          <cell r="E11">
            <v>0.33309207246760675</v>
          </cell>
          <cell r="H11">
            <v>-0.13418567662746941</v>
          </cell>
          <cell r="I11">
            <v>3.3871451779320924E-2</v>
          </cell>
          <cell r="J11">
            <v>-1.8643536557732081</v>
          </cell>
          <cell r="K11">
            <v>2.0793532901387182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4DDC9-7448-43AE-8BFF-1474A04987AF}">
  <sheetPr>
    <tabColor theme="9" tint="-0.499984740745262"/>
  </sheetPr>
  <dimension ref="A1:F12"/>
  <sheetViews>
    <sheetView workbookViewId="0">
      <selection activeCell="E12" sqref="E12"/>
    </sheetView>
  </sheetViews>
  <sheetFormatPr defaultRowHeight="15" x14ac:dyDescent="0.25"/>
  <cols>
    <col min="1" max="1" width="85.28515625" customWidth="1"/>
  </cols>
  <sheetData>
    <row r="1" spans="1:6" ht="15.75" x14ac:dyDescent="0.25">
      <c r="A1" s="20"/>
      <c r="B1" s="21" t="s">
        <v>4</v>
      </c>
      <c r="C1" s="21" t="s">
        <v>5</v>
      </c>
      <c r="D1" s="21" t="s">
        <v>6</v>
      </c>
      <c r="E1" s="21" t="s">
        <v>7</v>
      </c>
      <c r="F1" s="2"/>
    </row>
    <row r="2" spans="1:6" ht="15.75" x14ac:dyDescent="0.25">
      <c r="A2" s="22" t="s">
        <v>0</v>
      </c>
      <c r="B2" s="23">
        <v>9.2799999999999994</v>
      </c>
      <c r="C2" s="23">
        <v>1.31</v>
      </c>
      <c r="D2" s="23">
        <v>0.79</v>
      </c>
      <c r="E2" s="23">
        <v>5.94</v>
      </c>
      <c r="F2" s="1"/>
    </row>
    <row r="3" spans="1:6" ht="15.75" x14ac:dyDescent="0.25">
      <c r="A3" s="22" t="s">
        <v>1</v>
      </c>
      <c r="B3" s="23">
        <v>3.14</v>
      </c>
      <c r="C3" s="23">
        <v>0.61</v>
      </c>
      <c r="D3" s="23">
        <v>0.33</v>
      </c>
      <c r="E3" s="23">
        <v>2.85</v>
      </c>
      <c r="F3" s="1"/>
    </row>
    <row r="4" spans="1:6" ht="15.75" x14ac:dyDescent="0.25">
      <c r="A4" s="22" t="s">
        <v>2</v>
      </c>
      <c r="B4" s="23">
        <v>5.31</v>
      </c>
      <c r="C4" s="23">
        <v>1.73</v>
      </c>
      <c r="D4" s="23">
        <v>3.7</v>
      </c>
      <c r="E4" s="23">
        <v>3.71</v>
      </c>
      <c r="F4" s="1"/>
    </row>
    <row r="5" spans="1:6" ht="15.75" x14ac:dyDescent="0.25">
      <c r="A5" s="22" t="s">
        <v>3</v>
      </c>
      <c r="B5" s="23">
        <v>7.53</v>
      </c>
      <c r="C5" s="23">
        <v>1.86</v>
      </c>
      <c r="D5" s="23">
        <v>3.28</v>
      </c>
      <c r="E5" s="23">
        <v>2.88</v>
      </c>
      <c r="F5" s="1"/>
    </row>
    <row r="6" spans="1:6" x14ac:dyDescent="0.25">
      <c r="A6" s="22"/>
      <c r="B6" s="22"/>
      <c r="C6" s="22"/>
      <c r="D6" s="22"/>
      <c r="E6" s="22"/>
    </row>
    <row r="7" spans="1:6" x14ac:dyDescent="0.25">
      <c r="A7" s="24" t="s">
        <v>8</v>
      </c>
      <c r="B7" s="22"/>
      <c r="C7" s="22"/>
      <c r="D7" s="22"/>
      <c r="E7" s="22"/>
    </row>
    <row r="8" spans="1:6" x14ac:dyDescent="0.25">
      <c r="A8" s="22" t="s">
        <v>300</v>
      </c>
      <c r="B8" s="22"/>
      <c r="C8" s="22"/>
      <c r="D8" s="22"/>
      <c r="E8" s="22"/>
    </row>
    <row r="9" spans="1:6" x14ac:dyDescent="0.25">
      <c r="A9" s="22" t="s">
        <v>301</v>
      </c>
      <c r="B9" s="22"/>
      <c r="C9" s="22"/>
      <c r="D9" s="22"/>
      <c r="E9" s="22"/>
    </row>
    <row r="10" spans="1:6" x14ac:dyDescent="0.25">
      <c r="A10" s="22" t="s">
        <v>302</v>
      </c>
      <c r="B10" s="22"/>
      <c r="C10" s="22"/>
      <c r="D10" s="22"/>
      <c r="E10" s="22"/>
    </row>
    <row r="11" spans="1:6" x14ac:dyDescent="0.25">
      <c r="A11" s="22" t="s">
        <v>303</v>
      </c>
      <c r="B11" s="22"/>
      <c r="C11" s="22"/>
      <c r="D11" s="22"/>
      <c r="E11" s="22"/>
    </row>
    <row r="12" spans="1:6" x14ac:dyDescent="0.25">
      <c r="A12" s="22"/>
      <c r="B12" s="22"/>
      <c r="C12" s="22"/>
      <c r="D12" s="22"/>
      <c r="E12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3BF94-440E-4130-A825-A944304DA397}">
  <sheetPr>
    <tabColor theme="9" tint="-0.499984740745262"/>
  </sheetPr>
  <dimension ref="A1:H13"/>
  <sheetViews>
    <sheetView workbookViewId="0">
      <selection activeCell="D18" sqref="D18"/>
    </sheetView>
  </sheetViews>
  <sheetFormatPr defaultRowHeight="15" x14ac:dyDescent="0.25"/>
  <cols>
    <col min="1" max="1" width="46.7109375" bestFit="1" customWidth="1"/>
  </cols>
  <sheetData>
    <row r="1" spans="1:8" x14ac:dyDescent="0.25">
      <c r="A1" s="21" t="s">
        <v>248</v>
      </c>
      <c r="B1" s="382">
        <v>2018</v>
      </c>
      <c r="C1" s="382"/>
      <c r="D1" s="382">
        <v>2019</v>
      </c>
      <c r="E1" s="382"/>
      <c r="F1" s="382">
        <v>2020</v>
      </c>
      <c r="G1" s="382"/>
      <c r="H1" s="22"/>
    </row>
    <row r="2" spans="1:8" x14ac:dyDescent="0.25">
      <c r="A2" s="22" t="s">
        <v>247</v>
      </c>
      <c r="B2" s="381">
        <v>1.31</v>
      </c>
      <c r="C2" s="381"/>
      <c r="D2" s="381">
        <v>1.36</v>
      </c>
      <c r="E2" s="381"/>
      <c r="F2" s="381">
        <v>1.18</v>
      </c>
      <c r="G2" s="381"/>
      <c r="H2" s="22"/>
    </row>
    <row r="3" spans="1:8" x14ac:dyDescent="0.25">
      <c r="A3" s="22" t="s">
        <v>211</v>
      </c>
      <c r="B3" s="381">
        <v>45.12</v>
      </c>
      <c r="C3" s="381"/>
      <c r="D3" s="381">
        <v>41.58</v>
      </c>
      <c r="E3" s="381"/>
      <c r="F3" s="381">
        <v>53.39</v>
      </c>
      <c r="G3" s="381"/>
      <c r="H3" s="22"/>
    </row>
    <row r="4" spans="1:8" x14ac:dyDescent="0.25">
      <c r="A4" s="22" t="s">
        <v>212</v>
      </c>
      <c r="B4" s="381">
        <v>1.59</v>
      </c>
      <c r="C4" s="381"/>
      <c r="D4" s="381">
        <v>2.16</v>
      </c>
      <c r="E4" s="381"/>
      <c r="F4" s="381">
        <v>1.59</v>
      </c>
      <c r="G4" s="381"/>
      <c r="H4" s="22"/>
    </row>
    <row r="5" spans="1:8" x14ac:dyDescent="0.25">
      <c r="A5" s="22" t="s">
        <v>251</v>
      </c>
      <c r="B5" s="381">
        <v>32.15</v>
      </c>
      <c r="C5" s="381"/>
      <c r="D5" s="381">
        <v>30.88</v>
      </c>
      <c r="E5" s="381"/>
      <c r="F5" s="381">
        <v>33.479999999999997</v>
      </c>
      <c r="G5" s="381"/>
      <c r="H5" s="22"/>
    </row>
    <row r="6" spans="1:8" x14ac:dyDescent="0.25">
      <c r="A6" s="22" t="s">
        <v>250</v>
      </c>
      <c r="B6" s="383">
        <v>31.71</v>
      </c>
      <c r="C6" s="383"/>
      <c r="D6" s="383">
        <v>23.71</v>
      </c>
      <c r="E6" s="383"/>
      <c r="F6" s="383">
        <v>24.76</v>
      </c>
      <c r="G6" s="383"/>
      <c r="H6" s="22"/>
    </row>
    <row r="7" spans="1:8" x14ac:dyDescent="0.25">
      <c r="A7" s="22" t="s">
        <v>214</v>
      </c>
      <c r="B7" s="383">
        <v>67.2</v>
      </c>
      <c r="C7" s="383"/>
      <c r="D7" s="383">
        <v>60.13</v>
      </c>
      <c r="E7" s="383"/>
      <c r="F7" s="383">
        <v>70.099999999999994</v>
      </c>
      <c r="G7" s="383"/>
      <c r="H7" s="22"/>
    </row>
    <row r="8" spans="1:8" x14ac:dyDescent="0.25">
      <c r="A8" s="22" t="s">
        <v>215</v>
      </c>
      <c r="B8" s="384">
        <v>0</v>
      </c>
      <c r="C8" s="384"/>
      <c r="D8" s="384">
        <v>0</v>
      </c>
      <c r="E8" s="384"/>
      <c r="F8" s="384">
        <v>0</v>
      </c>
      <c r="G8" s="384"/>
      <c r="H8" s="22"/>
    </row>
    <row r="9" spans="1:8" x14ac:dyDescent="0.25">
      <c r="A9" s="22" t="s">
        <v>216</v>
      </c>
      <c r="B9" s="383">
        <v>3.37</v>
      </c>
      <c r="C9" s="383"/>
      <c r="D9" s="383">
        <v>2.62</v>
      </c>
      <c r="E9" s="383"/>
      <c r="F9" s="383">
        <v>12.86</v>
      </c>
      <c r="G9" s="383"/>
      <c r="H9" s="22"/>
    </row>
    <row r="10" spans="1:8" x14ac:dyDescent="0.25">
      <c r="A10" s="22" t="s">
        <v>252</v>
      </c>
      <c r="B10" s="383">
        <v>5.34</v>
      </c>
      <c r="C10" s="383"/>
      <c r="D10" s="383">
        <v>8.91</v>
      </c>
      <c r="E10" s="383"/>
      <c r="F10" s="383">
        <v>13.88</v>
      </c>
      <c r="G10" s="383"/>
      <c r="H10" s="22"/>
    </row>
    <row r="11" spans="1:8" x14ac:dyDescent="0.25">
      <c r="A11" s="22" t="s">
        <v>254</v>
      </c>
      <c r="B11" s="383">
        <v>14.87</v>
      </c>
      <c r="C11" s="383"/>
      <c r="D11" s="383">
        <v>15.96</v>
      </c>
      <c r="E11" s="383"/>
      <c r="F11" s="383">
        <v>23.86</v>
      </c>
      <c r="G11" s="383"/>
      <c r="H11" s="22"/>
    </row>
    <row r="12" spans="1:8" x14ac:dyDescent="0.25">
      <c r="A12" s="22" t="s">
        <v>253</v>
      </c>
      <c r="B12" s="383">
        <v>12.08</v>
      </c>
      <c r="C12" s="383"/>
      <c r="D12" s="383">
        <v>14.12</v>
      </c>
      <c r="E12" s="383"/>
      <c r="F12" s="383">
        <v>14.31</v>
      </c>
      <c r="G12" s="383"/>
      <c r="H12" s="22"/>
    </row>
    <row r="13" spans="1:8" x14ac:dyDescent="0.25">
      <c r="A13" s="22" t="s">
        <v>255</v>
      </c>
      <c r="B13" s="384">
        <v>0.86</v>
      </c>
      <c r="C13" s="384"/>
      <c r="D13" s="384">
        <v>0.54</v>
      </c>
      <c r="E13" s="384"/>
      <c r="F13" s="384">
        <v>1.33</v>
      </c>
      <c r="G13" s="384"/>
      <c r="H13" s="22"/>
    </row>
  </sheetData>
  <mergeCells count="39">
    <mergeCell ref="F6:G6"/>
    <mergeCell ref="F7:G7"/>
    <mergeCell ref="F8:G8"/>
    <mergeCell ref="F9:G9"/>
    <mergeCell ref="D13:E13"/>
    <mergeCell ref="D11:E11"/>
    <mergeCell ref="D12:E12"/>
    <mergeCell ref="D9:E9"/>
    <mergeCell ref="F10:G10"/>
    <mergeCell ref="F11:G11"/>
    <mergeCell ref="F12:G12"/>
    <mergeCell ref="F13:G13"/>
    <mergeCell ref="D7:E7"/>
    <mergeCell ref="D8:E8"/>
    <mergeCell ref="F1:G1"/>
    <mergeCell ref="F2:G2"/>
    <mergeCell ref="F3:G3"/>
    <mergeCell ref="F4:G4"/>
    <mergeCell ref="F5:G5"/>
    <mergeCell ref="B13:C13"/>
    <mergeCell ref="B11:C11"/>
    <mergeCell ref="B12:C12"/>
    <mergeCell ref="B9:C9"/>
    <mergeCell ref="B10:C10"/>
    <mergeCell ref="B7:C7"/>
    <mergeCell ref="B8:C8"/>
    <mergeCell ref="D10:E10"/>
    <mergeCell ref="D6:E6"/>
    <mergeCell ref="B5:C5"/>
    <mergeCell ref="B6:C6"/>
    <mergeCell ref="D5:E5"/>
    <mergeCell ref="D3:E3"/>
    <mergeCell ref="D4:E4"/>
    <mergeCell ref="B3:C3"/>
    <mergeCell ref="B4:C4"/>
    <mergeCell ref="D1:E1"/>
    <mergeCell ref="D2:E2"/>
    <mergeCell ref="B1:C1"/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2DFA3-F091-4541-988F-AFBFB0C55881}">
  <sheetPr>
    <tabColor theme="9" tint="-0.499984740745262"/>
  </sheetPr>
  <dimension ref="A1:AE29"/>
  <sheetViews>
    <sheetView workbookViewId="0">
      <selection activeCell="I13" sqref="I13"/>
    </sheetView>
  </sheetViews>
  <sheetFormatPr defaultRowHeight="15" x14ac:dyDescent="0.25"/>
  <cols>
    <col min="1" max="1" width="46.7109375" bestFit="1" customWidth="1"/>
    <col min="9" max="9" width="46.7109375" bestFit="1" customWidth="1"/>
  </cols>
  <sheetData>
    <row r="1" spans="1:31" x14ac:dyDescent="0.25">
      <c r="A1" s="25">
        <v>2020</v>
      </c>
      <c r="B1" s="388" t="s">
        <v>248</v>
      </c>
      <c r="C1" s="388"/>
      <c r="D1" s="388" t="s">
        <v>249</v>
      </c>
      <c r="E1" s="388"/>
      <c r="F1" s="26"/>
      <c r="G1" s="26"/>
      <c r="H1" s="26"/>
      <c r="I1" s="25">
        <v>2019</v>
      </c>
      <c r="J1" s="388" t="s">
        <v>248</v>
      </c>
      <c r="K1" s="388"/>
      <c r="L1" s="388" t="s">
        <v>249</v>
      </c>
      <c r="M1" s="388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</row>
    <row r="2" spans="1:31" x14ac:dyDescent="0.25">
      <c r="A2" s="27" t="s">
        <v>247</v>
      </c>
      <c r="B2" s="387">
        <v>1.18</v>
      </c>
      <c r="C2" s="387"/>
      <c r="D2" s="387">
        <f>Ukazovatele!E4</f>
        <v>2.81</v>
      </c>
      <c r="E2" s="387"/>
      <c r="F2" s="26"/>
      <c r="G2" s="26"/>
      <c r="H2" s="26"/>
      <c r="I2" s="27" t="s">
        <v>247</v>
      </c>
      <c r="J2" s="387">
        <v>1.36</v>
      </c>
      <c r="K2" s="387"/>
      <c r="L2" s="387">
        <f>Ukazovatele!D4</f>
        <v>2.98</v>
      </c>
      <c r="M2" s="387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1:31" x14ac:dyDescent="0.25">
      <c r="A3" s="27" t="s">
        <v>211</v>
      </c>
      <c r="B3" s="387">
        <v>53.39</v>
      </c>
      <c r="C3" s="387"/>
      <c r="D3" s="387">
        <f>Ukazovatele!E6</f>
        <v>19.662031126220313</v>
      </c>
      <c r="E3" s="387"/>
      <c r="F3" s="26"/>
      <c r="G3" s="26"/>
      <c r="H3" s="26"/>
      <c r="I3" s="27" t="s">
        <v>211</v>
      </c>
      <c r="J3" s="387">
        <v>41.58</v>
      </c>
      <c r="K3" s="387"/>
      <c r="L3" s="387">
        <f>Ukazovatele!D6</f>
        <v>29.04</v>
      </c>
      <c r="M3" s="38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1:31" x14ac:dyDescent="0.25">
      <c r="A4" s="27" t="s">
        <v>212</v>
      </c>
      <c r="B4" s="387">
        <v>1.59</v>
      </c>
      <c r="C4" s="387"/>
      <c r="D4" s="387">
        <f>Ukazovatele!E7</f>
        <v>2.66</v>
      </c>
      <c r="E4" s="387"/>
      <c r="F4" s="26"/>
      <c r="G4" s="26"/>
      <c r="H4" s="26"/>
      <c r="I4" s="27" t="s">
        <v>212</v>
      </c>
      <c r="J4" s="387">
        <v>2.16</v>
      </c>
      <c r="K4" s="387"/>
      <c r="L4" s="387">
        <f>Ukazovatele!D7</f>
        <v>2.87</v>
      </c>
      <c r="M4" s="387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1" x14ac:dyDescent="0.25">
      <c r="A5" s="27" t="s">
        <v>251</v>
      </c>
      <c r="B5" s="387">
        <v>33.479999999999997</v>
      </c>
      <c r="C5" s="387"/>
      <c r="D5" s="387">
        <f>Ukazovatele!E8</f>
        <v>27.13</v>
      </c>
      <c r="E5" s="387"/>
      <c r="F5" s="26"/>
      <c r="G5" s="26"/>
      <c r="H5" s="26"/>
      <c r="I5" s="27" t="s">
        <v>251</v>
      </c>
      <c r="J5" s="387">
        <v>30.88</v>
      </c>
      <c r="K5" s="387"/>
      <c r="L5" s="387">
        <f>Ukazovatele!D8</f>
        <v>29.11</v>
      </c>
      <c r="M5" s="387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spans="1:31" x14ac:dyDescent="0.25">
      <c r="A6" s="27" t="s">
        <v>250</v>
      </c>
      <c r="B6" s="385">
        <v>24.76</v>
      </c>
      <c r="C6" s="385"/>
      <c r="D6" s="386">
        <f>Ukazovatele!E9</f>
        <v>25.64</v>
      </c>
      <c r="E6" s="385"/>
      <c r="F6" s="26"/>
      <c r="G6" s="26"/>
      <c r="H6" s="26"/>
      <c r="I6" s="27" t="s">
        <v>250</v>
      </c>
      <c r="J6" s="385">
        <v>23.71</v>
      </c>
      <c r="K6" s="385"/>
      <c r="L6" s="386">
        <f>Ukazovatele!D9</f>
        <v>24.47</v>
      </c>
      <c r="M6" s="385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1:31" x14ac:dyDescent="0.25">
      <c r="A7" s="27" t="s">
        <v>214</v>
      </c>
      <c r="B7" s="385">
        <v>70.099999999999994</v>
      </c>
      <c r="C7" s="385"/>
      <c r="D7" s="386">
        <f>Ukazovatele!E11</f>
        <v>38.880000000000003</v>
      </c>
      <c r="E7" s="385"/>
      <c r="F7" s="26"/>
      <c r="G7" s="26"/>
      <c r="H7" s="26"/>
      <c r="I7" s="27" t="s">
        <v>214</v>
      </c>
      <c r="J7" s="385">
        <v>60.13</v>
      </c>
      <c r="K7" s="385"/>
      <c r="L7" s="386">
        <f>Ukazovatele!D11</f>
        <v>36.25</v>
      </c>
      <c r="M7" s="38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</row>
    <row r="8" spans="1:31" x14ac:dyDescent="0.25">
      <c r="A8" s="27" t="s">
        <v>215</v>
      </c>
      <c r="B8" s="386">
        <v>0</v>
      </c>
      <c r="C8" s="386"/>
      <c r="D8" s="386">
        <f>Ukazovatele!E12</f>
        <v>0</v>
      </c>
      <c r="E8" s="385"/>
      <c r="F8" s="26"/>
      <c r="G8" s="26"/>
      <c r="H8" s="26"/>
      <c r="I8" s="27" t="s">
        <v>215</v>
      </c>
      <c r="J8" s="386">
        <v>0</v>
      </c>
      <c r="K8" s="386"/>
      <c r="L8" s="386">
        <f>Ukazovatele!D12</f>
        <v>0</v>
      </c>
      <c r="M8" s="385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31" x14ac:dyDescent="0.25">
      <c r="A9" s="27" t="s">
        <v>216</v>
      </c>
      <c r="B9" s="385">
        <v>1.94</v>
      </c>
      <c r="C9" s="385"/>
      <c r="D9" s="386">
        <f>Ukazovatele!E13</f>
        <v>1.0900000000000001</v>
      </c>
      <c r="E9" s="385"/>
      <c r="F9" s="26"/>
      <c r="G9" s="26"/>
      <c r="H9" s="26"/>
      <c r="I9" s="27" t="s">
        <v>216</v>
      </c>
      <c r="J9" s="385">
        <v>2.62</v>
      </c>
      <c r="K9" s="385"/>
      <c r="L9" s="386">
        <f>Ukazovatele!D13</f>
        <v>1.1000000000000001</v>
      </c>
      <c r="M9" s="385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31" x14ac:dyDescent="0.25">
      <c r="A10" s="27" t="s">
        <v>252</v>
      </c>
      <c r="B10" s="385">
        <v>13.88</v>
      </c>
      <c r="C10" s="385"/>
      <c r="D10" s="386">
        <f>Ukazovatele!E15</f>
        <v>33.619999999999997</v>
      </c>
      <c r="E10" s="385"/>
      <c r="F10" s="26"/>
      <c r="G10" s="26"/>
      <c r="H10" s="26"/>
      <c r="I10" s="27" t="s">
        <v>252</v>
      </c>
      <c r="J10" s="385">
        <v>8.91</v>
      </c>
      <c r="K10" s="385"/>
      <c r="L10" s="386">
        <f>Ukazovatele!D15</f>
        <v>30.21</v>
      </c>
      <c r="M10" s="385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x14ac:dyDescent="0.25">
      <c r="A11" s="27" t="s">
        <v>254</v>
      </c>
      <c r="B11" s="385">
        <v>23.86</v>
      </c>
      <c r="C11" s="385"/>
      <c r="D11" s="386">
        <f>Ukazovatele!E16</f>
        <v>55</v>
      </c>
      <c r="E11" s="385"/>
      <c r="F11" s="26"/>
      <c r="G11" s="26"/>
      <c r="H11" s="26"/>
      <c r="I11" s="27" t="s">
        <v>254</v>
      </c>
      <c r="J11" s="385">
        <v>15.96</v>
      </c>
      <c r="K11" s="385"/>
      <c r="L11" s="386">
        <f>Ukazovatele!D16</f>
        <v>47.39</v>
      </c>
      <c r="M11" s="385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31" x14ac:dyDescent="0.25">
      <c r="A12" s="27" t="s">
        <v>264</v>
      </c>
      <c r="B12" s="385">
        <v>14.31</v>
      </c>
      <c r="C12" s="385"/>
      <c r="D12" s="386">
        <f>Ukazovatele!E17</f>
        <v>12.64</v>
      </c>
      <c r="E12" s="385"/>
      <c r="F12" s="26"/>
      <c r="G12" s="26"/>
      <c r="H12" s="26"/>
      <c r="I12" s="27" t="s">
        <v>264</v>
      </c>
      <c r="J12" s="385">
        <v>14.12</v>
      </c>
      <c r="K12" s="385"/>
      <c r="L12" s="386">
        <f>Ukazovatele!D17</f>
        <v>10.51</v>
      </c>
      <c r="M12" s="385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31" x14ac:dyDescent="0.25">
      <c r="A13" s="27" t="s">
        <v>255</v>
      </c>
      <c r="B13" s="386">
        <v>1.33</v>
      </c>
      <c r="C13" s="386"/>
      <c r="D13" s="386">
        <f>Ukazovatele!E18</f>
        <v>0.27</v>
      </c>
      <c r="E13" s="385"/>
      <c r="F13" s="26"/>
      <c r="G13" s="26"/>
      <c r="H13" s="26"/>
      <c r="I13" s="27" t="s">
        <v>255</v>
      </c>
      <c r="J13" s="386">
        <v>0.54</v>
      </c>
      <c r="K13" s="386"/>
      <c r="L13" s="386">
        <f>Ukazovatele!D18</f>
        <v>0.05</v>
      </c>
      <c r="M13" s="38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31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3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31" x14ac:dyDescent="0.25">
      <c r="A16" s="25">
        <v>2018</v>
      </c>
      <c r="B16" s="388" t="s">
        <v>248</v>
      </c>
      <c r="C16" s="388"/>
      <c r="D16" s="388" t="s">
        <v>249</v>
      </c>
      <c r="E16" s="388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x14ac:dyDescent="0.25">
      <c r="A17" s="27" t="s">
        <v>247</v>
      </c>
      <c r="B17" s="387">
        <v>1.31</v>
      </c>
      <c r="C17" s="387"/>
      <c r="D17" s="387">
        <f>Ukazovatele!C4</f>
        <v>2.83</v>
      </c>
      <c r="E17" s="387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x14ac:dyDescent="0.25">
      <c r="A18" s="27" t="s">
        <v>211</v>
      </c>
      <c r="B18" s="387">
        <v>45.12</v>
      </c>
      <c r="C18" s="387"/>
      <c r="D18" s="387">
        <f>Ukazovatele!C6</f>
        <v>32.909999999999997</v>
      </c>
      <c r="E18" s="387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x14ac:dyDescent="0.25">
      <c r="A19" s="27" t="s">
        <v>212</v>
      </c>
      <c r="B19" s="387">
        <v>1.59</v>
      </c>
      <c r="C19" s="387"/>
      <c r="D19" s="387">
        <f>Ukazovatele!C7</f>
        <v>2.5499999999999998</v>
      </c>
      <c r="E19" s="387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x14ac:dyDescent="0.25">
      <c r="A20" s="27" t="s">
        <v>251</v>
      </c>
      <c r="B20" s="387">
        <v>32.15</v>
      </c>
      <c r="C20" s="387"/>
      <c r="D20" s="387">
        <f>Ukazovatele!C8</f>
        <v>64.33</v>
      </c>
      <c r="E20" s="387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x14ac:dyDescent="0.25">
      <c r="A21" s="27" t="s">
        <v>250</v>
      </c>
      <c r="B21" s="385">
        <v>31.71</v>
      </c>
      <c r="C21" s="385"/>
      <c r="D21" s="386">
        <f>Ukazovatele!C9</f>
        <v>30.43</v>
      </c>
      <c r="E21" s="385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x14ac:dyDescent="0.25">
      <c r="A22" s="27" t="s">
        <v>214</v>
      </c>
      <c r="B22" s="386">
        <v>19</v>
      </c>
      <c r="C22" s="386"/>
      <c r="D22" s="386">
        <f>Ukazovatele!C11</f>
        <v>38.75</v>
      </c>
      <c r="E22" s="385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x14ac:dyDescent="0.25">
      <c r="A23" s="27" t="s">
        <v>215</v>
      </c>
      <c r="B23" s="386">
        <v>0</v>
      </c>
      <c r="C23" s="386"/>
      <c r="D23" s="386">
        <f>Ukazovatele!C12</f>
        <v>0</v>
      </c>
      <c r="E23" s="385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x14ac:dyDescent="0.25">
      <c r="A24" s="27" t="s">
        <v>216</v>
      </c>
      <c r="B24" s="385">
        <v>3.37</v>
      </c>
      <c r="C24" s="385"/>
      <c r="D24" s="386">
        <f>Ukazovatele!C13</f>
        <v>1.21</v>
      </c>
      <c r="E24" s="38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x14ac:dyDescent="0.25">
      <c r="A25" s="27" t="s">
        <v>252</v>
      </c>
      <c r="B25" s="385">
        <v>5.34</v>
      </c>
      <c r="C25" s="385"/>
      <c r="D25" s="386">
        <f>Ukazovatele!C15</f>
        <v>29.49</v>
      </c>
      <c r="E25" s="385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x14ac:dyDescent="0.25">
      <c r="A26" s="27" t="s">
        <v>254</v>
      </c>
      <c r="B26" s="385">
        <v>14.87</v>
      </c>
      <c r="C26" s="385"/>
      <c r="D26" s="386">
        <f>Ukazovatele!C16</f>
        <v>48.15</v>
      </c>
      <c r="E26" s="385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x14ac:dyDescent="0.25">
      <c r="A27" s="27" t="s">
        <v>264</v>
      </c>
      <c r="B27" s="385">
        <v>12.08</v>
      </c>
      <c r="C27" s="385"/>
      <c r="D27" s="386">
        <f>Ukazovatele!C17</f>
        <v>11.55</v>
      </c>
      <c r="E27" s="385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</row>
    <row r="28" spans="1:31" x14ac:dyDescent="0.25">
      <c r="A28" s="27" t="s">
        <v>255</v>
      </c>
      <c r="B28" s="386">
        <v>0.86</v>
      </c>
      <c r="C28" s="386"/>
      <c r="D28" s="386">
        <f>Ukazovatele!C18</f>
        <v>0.05</v>
      </c>
      <c r="E28" s="385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</sheetData>
  <mergeCells count="78">
    <mergeCell ref="B1:C1"/>
    <mergeCell ref="B2:C2"/>
    <mergeCell ref="B3:C3"/>
    <mergeCell ref="B4:C4"/>
    <mergeCell ref="B5:C5"/>
    <mergeCell ref="B12:C12"/>
    <mergeCell ref="B13:C13"/>
    <mergeCell ref="D2:E2"/>
    <mergeCell ref="D3:E3"/>
    <mergeCell ref="D4:E4"/>
    <mergeCell ref="D5:E5"/>
    <mergeCell ref="D6:E6"/>
    <mergeCell ref="D7:E7"/>
    <mergeCell ref="D8:E8"/>
    <mergeCell ref="D9:E9"/>
    <mergeCell ref="B6:C6"/>
    <mergeCell ref="B7:C7"/>
    <mergeCell ref="B8:C8"/>
    <mergeCell ref="B9:C9"/>
    <mergeCell ref="B10:C10"/>
    <mergeCell ref="B11:C11"/>
    <mergeCell ref="L1:M1"/>
    <mergeCell ref="J2:K2"/>
    <mergeCell ref="L2:M2"/>
    <mergeCell ref="J3:K3"/>
    <mergeCell ref="L3:M3"/>
    <mergeCell ref="D10:E10"/>
    <mergeCell ref="D11:E11"/>
    <mergeCell ref="D12:E12"/>
    <mergeCell ref="D13:E13"/>
    <mergeCell ref="J1:K1"/>
    <mergeCell ref="D1:E1"/>
    <mergeCell ref="J4:K4"/>
    <mergeCell ref="J7:K7"/>
    <mergeCell ref="J10:K10"/>
    <mergeCell ref="J13:K13"/>
    <mergeCell ref="L4:M4"/>
    <mergeCell ref="J5:K5"/>
    <mergeCell ref="L5:M5"/>
    <mergeCell ref="J6:K6"/>
    <mergeCell ref="L6:M6"/>
    <mergeCell ref="L7:M7"/>
    <mergeCell ref="J8:K8"/>
    <mergeCell ref="L8:M8"/>
    <mergeCell ref="J9:K9"/>
    <mergeCell ref="L9:M9"/>
    <mergeCell ref="L10:M10"/>
    <mergeCell ref="J11:K11"/>
    <mergeCell ref="L11:M11"/>
    <mergeCell ref="J12:K12"/>
    <mergeCell ref="L12:M12"/>
    <mergeCell ref="L13:M13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7:C27"/>
    <mergeCell ref="D27:E27"/>
    <mergeCell ref="B28:C28"/>
    <mergeCell ref="D28:E28"/>
    <mergeCell ref="B24:C24"/>
    <mergeCell ref="D24:E24"/>
    <mergeCell ref="B25:C25"/>
    <mergeCell ref="D25:E25"/>
    <mergeCell ref="B26:C26"/>
    <mergeCell ref="D26:E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E44DA-96E2-457F-B616-F542D376B84D}">
  <sheetPr>
    <tabColor theme="9" tint="-0.499984740745262"/>
  </sheetPr>
  <dimension ref="A1:R41"/>
  <sheetViews>
    <sheetView tabSelected="1" topLeftCell="J1" zoomScale="80" zoomScaleNormal="80" workbookViewId="0">
      <selection activeCell="M26" sqref="M26"/>
    </sheetView>
  </sheetViews>
  <sheetFormatPr defaultRowHeight="15" x14ac:dyDescent="0.25"/>
  <cols>
    <col min="1" max="1" width="46.7109375" bestFit="1" customWidth="1"/>
    <col min="5" max="5" width="8.5703125" customWidth="1"/>
    <col min="6" max="6" width="4.5703125" hidden="1" customWidth="1"/>
    <col min="7" max="7" width="7.7109375" hidden="1" customWidth="1"/>
    <col min="8" max="8" width="17.28515625" customWidth="1"/>
    <col min="9" max="9" width="18" bestFit="1" customWidth="1"/>
    <col min="10" max="10" width="11.5703125" customWidth="1"/>
    <col min="12" max="13" width="14.28515625" customWidth="1"/>
    <col min="16" max="16" width="22" bestFit="1" customWidth="1"/>
  </cols>
  <sheetData>
    <row r="1" spans="1:18" x14ac:dyDescent="0.25">
      <c r="P1" s="373"/>
      <c r="Q1" s="374"/>
      <c r="R1" s="374"/>
    </row>
    <row r="2" spans="1:18" x14ac:dyDescent="0.25">
      <c r="A2" s="375">
        <v>2020</v>
      </c>
      <c r="B2" s="392" t="s">
        <v>248</v>
      </c>
      <c r="C2" s="392"/>
      <c r="D2" s="392" t="s">
        <v>249</v>
      </c>
      <c r="E2" s="392"/>
      <c r="F2" s="392"/>
      <c r="G2" s="392"/>
      <c r="H2" s="375" t="s">
        <v>248</v>
      </c>
      <c r="I2" s="375" t="s">
        <v>369</v>
      </c>
      <c r="J2" s="375" t="s">
        <v>370</v>
      </c>
      <c r="K2" s="395"/>
      <c r="L2" s="395"/>
      <c r="M2" s="376"/>
      <c r="N2" s="395"/>
      <c r="O2" s="395"/>
      <c r="P2" s="377"/>
      <c r="Q2" s="378"/>
      <c r="R2" s="378"/>
    </row>
    <row r="3" spans="1:18" x14ac:dyDescent="0.25">
      <c r="A3" s="3" t="s">
        <v>247</v>
      </c>
      <c r="B3" s="390">
        <v>1.18</v>
      </c>
      <c r="C3" s="390"/>
      <c r="D3" s="390">
        <f>[1]Ukazovatele!E4</f>
        <v>2.81</v>
      </c>
      <c r="E3" s="390"/>
      <c r="F3" s="390"/>
      <c r="G3" s="390"/>
      <c r="H3" s="379">
        <v>1</v>
      </c>
      <c r="I3" s="119">
        <f>B3/D3</f>
        <v>0.41992882562277578</v>
      </c>
      <c r="J3" s="376" t="s">
        <v>371</v>
      </c>
      <c r="K3" s="390"/>
      <c r="L3" s="390"/>
      <c r="M3" s="379"/>
      <c r="N3" s="390"/>
      <c r="O3" s="390"/>
      <c r="P3" s="377"/>
      <c r="Q3" s="378"/>
      <c r="R3" s="378"/>
    </row>
    <row r="4" spans="1:18" x14ac:dyDescent="0.25">
      <c r="A4" s="3" t="s">
        <v>211</v>
      </c>
      <c r="B4" s="390">
        <v>53.39</v>
      </c>
      <c r="C4" s="390"/>
      <c r="D4" s="390">
        <f>[1]Ukazovatele!E6</f>
        <v>19.66</v>
      </c>
      <c r="E4" s="390"/>
      <c r="F4" s="390"/>
      <c r="G4" s="390"/>
      <c r="H4" s="379">
        <v>1</v>
      </c>
      <c r="I4" s="119">
        <f>B4/D4</f>
        <v>2.7156663275686674</v>
      </c>
      <c r="J4" s="376" t="s">
        <v>371</v>
      </c>
      <c r="K4" s="394" t="s">
        <v>372</v>
      </c>
      <c r="L4" s="394"/>
      <c r="M4" s="379"/>
      <c r="N4" s="390"/>
      <c r="O4" s="390"/>
      <c r="P4" s="377"/>
      <c r="Q4" s="380"/>
      <c r="R4" s="378"/>
    </row>
    <row r="5" spans="1:18" x14ac:dyDescent="0.25">
      <c r="A5" s="3" t="s">
        <v>212</v>
      </c>
      <c r="B5" s="390">
        <v>1.59</v>
      </c>
      <c r="C5" s="390"/>
      <c r="D5" s="390">
        <f>[1]Ukazovatele!E7</f>
        <v>2.66</v>
      </c>
      <c r="E5" s="390"/>
      <c r="F5" s="390"/>
      <c r="G5" s="390"/>
      <c r="H5" s="379">
        <v>1</v>
      </c>
      <c r="I5" s="119">
        <f>D5/B5</f>
        <v>1.6729559748427674</v>
      </c>
      <c r="J5" s="376" t="s">
        <v>373</v>
      </c>
      <c r="K5" s="390"/>
      <c r="L5" s="390"/>
      <c r="M5" s="379"/>
      <c r="N5" s="390"/>
      <c r="O5" s="390"/>
      <c r="P5" s="377"/>
      <c r="Q5" s="380"/>
      <c r="R5" s="378"/>
    </row>
    <row r="6" spans="1:18" x14ac:dyDescent="0.25">
      <c r="A6" s="3" t="s">
        <v>251</v>
      </c>
      <c r="B6" s="390">
        <v>33.479999999999997</v>
      </c>
      <c r="C6" s="390"/>
      <c r="D6" s="390">
        <f>[1]Ukazovatele!E8</f>
        <v>27.13</v>
      </c>
      <c r="E6" s="390"/>
      <c r="F6" s="390"/>
      <c r="G6" s="390"/>
      <c r="H6" s="379">
        <v>1</v>
      </c>
      <c r="I6" s="119">
        <f>B6/D6</f>
        <v>1.2340582381127903</v>
      </c>
      <c r="J6" s="376" t="s">
        <v>371</v>
      </c>
      <c r="K6" s="390"/>
      <c r="L6" s="390"/>
      <c r="M6" s="379"/>
      <c r="N6" s="390"/>
      <c r="O6" s="390"/>
      <c r="P6" s="3"/>
    </row>
    <row r="7" spans="1:18" x14ac:dyDescent="0.25">
      <c r="A7" s="3" t="s">
        <v>250</v>
      </c>
      <c r="B7" s="389">
        <v>24.76</v>
      </c>
      <c r="C7" s="389"/>
      <c r="D7" s="391">
        <f>[1]Ukazovatele!E9</f>
        <v>25.64</v>
      </c>
      <c r="E7" s="391"/>
      <c r="F7" s="391"/>
      <c r="G7" s="389"/>
      <c r="H7" s="379">
        <v>1</v>
      </c>
      <c r="I7" s="119">
        <f>D7/B7</f>
        <v>1.035541195476575</v>
      </c>
      <c r="J7" s="376" t="s">
        <v>373</v>
      </c>
      <c r="K7" s="389"/>
      <c r="L7" s="389"/>
      <c r="M7" s="117"/>
      <c r="N7" s="391"/>
      <c r="O7" s="389"/>
      <c r="P7" s="3"/>
    </row>
    <row r="8" spans="1:18" x14ac:dyDescent="0.25">
      <c r="A8" s="3" t="s">
        <v>214</v>
      </c>
      <c r="B8" s="389">
        <v>70.099999999999994</v>
      </c>
      <c r="C8" s="389"/>
      <c r="D8" s="391">
        <f>[1]Ukazovatele!E11</f>
        <v>38.880000000000003</v>
      </c>
      <c r="E8" s="391"/>
      <c r="F8" s="391"/>
      <c r="G8" s="389"/>
      <c r="H8" s="379">
        <v>1</v>
      </c>
      <c r="I8" s="119">
        <f>D8/B8</f>
        <v>0.55463623395149797</v>
      </c>
      <c r="J8" s="376" t="s">
        <v>373</v>
      </c>
      <c r="K8" s="389"/>
      <c r="L8" s="389"/>
      <c r="M8" s="117"/>
      <c r="N8" s="391"/>
      <c r="O8" s="389"/>
      <c r="P8" s="3"/>
    </row>
    <row r="9" spans="1:18" x14ac:dyDescent="0.25">
      <c r="A9" s="3" t="s">
        <v>216</v>
      </c>
      <c r="B9" s="389">
        <v>1.94</v>
      </c>
      <c r="C9" s="389"/>
      <c r="D9" s="391">
        <f>[1]Ukazovatele!E13</f>
        <v>1.0900000000000001</v>
      </c>
      <c r="E9" s="391"/>
      <c r="F9" s="391"/>
      <c r="G9" s="389"/>
      <c r="H9" s="379">
        <v>1</v>
      </c>
      <c r="I9" s="119">
        <f>B9/D9</f>
        <v>1.7798165137614677</v>
      </c>
      <c r="J9" s="376" t="s">
        <v>371</v>
      </c>
      <c r="K9" s="389"/>
      <c r="L9" s="389"/>
      <c r="M9" s="117"/>
      <c r="N9" s="391"/>
      <c r="O9" s="389"/>
      <c r="P9" s="3"/>
    </row>
    <row r="10" spans="1:18" x14ac:dyDescent="0.25">
      <c r="A10" s="3" t="s">
        <v>252</v>
      </c>
      <c r="B10" s="389">
        <v>13.88</v>
      </c>
      <c r="C10" s="389"/>
      <c r="D10" s="391">
        <f>[1]Ukazovatele!E15</f>
        <v>33.619999999999997</v>
      </c>
      <c r="E10" s="391"/>
      <c r="F10" s="391"/>
      <c r="G10" s="389"/>
      <c r="H10" s="379">
        <v>1</v>
      </c>
      <c r="I10" s="119">
        <f>D10/B10</f>
        <v>2.4221902017291064</v>
      </c>
      <c r="J10" s="376" t="s">
        <v>373</v>
      </c>
      <c r="K10" s="393" t="s">
        <v>374</v>
      </c>
      <c r="L10" s="393"/>
      <c r="M10" s="117"/>
      <c r="N10" s="391"/>
      <c r="O10" s="389"/>
      <c r="P10" s="3"/>
    </row>
    <row r="11" spans="1:18" x14ac:dyDescent="0.25">
      <c r="A11" s="3" t="s">
        <v>254</v>
      </c>
      <c r="B11" s="389">
        <v>23.86</v>
      </c>
      <c r="C11" s="389"/>
      <c r="D11" s="391">
        <f>[1]Ukazovatele!E16</f>
        <v>55</v>
      </c>
      <c r="E11" s="391"/>
      <c r="F11" s="391"/>
      <c r="G11" s="389"/>
      <c r="H11" s="379">
        <v>1</v>
      </c>
      <c r="I11" s="119">
        <f t="shared" ref="I11:I13" si="0">D11/B11</f>
        <v>2.305113160100587</v>
      </c>
      <c r="J11" s="376" t="s">
        <v>373</v>
      </c>
      <c r="K11" s="389"/>
      <c r="L11" s="389"/>
      <c r="M11" s="117"/>
      <c r="N11" s="391"/>
      <c r="O11" s="389"/>
      <c r="P11" s="3"/>
    </row>
    <row r="12" spans="1:18" x14ac:dyDescent="0.25">
      <c r="A12" s="3" t="s">
        <v>264</v>
      </c>
      <c r="B12" s="389">
        <v>14.31</v>
      </c>
      <c r="C12" s="389"/>
      <c r="D12" s="391">
        <f>[1]Ukazovatele!E17</f>
        <v>12.64</v>
      </c>
      <c r="E12" s="391"/>
      <c r="F12" s="391"/>
      <c r="G12" s="389"/>
      <c r="H12" s="379">
        <v>1</v>
      </c>
      <c r="I12" s="119">
        <f t="shared" si="0"/>
        <v>0.883298392732355</v>
      </c>
      <c r="J12" s="376" t="s">
        <v>373</v>
      </c>
      <c r="K12" s="389"/>
      <c r="L12" s="389"/>
      <c r="M12" s="117"/>
      <c r="N12" s="391"/>
      <c r="O12" s="389"/>
    </row>
    <row r="13" spans="1:18" x14ac:dyDescent="0.25">
      <c r="A13" s="3" t="s">
        <v>255</v>
      </c>
      <c r="B13" s="391">
        <v>1.33</v>
      </c>
      <c r="C13" s="391"/>
      <c r="D13" s="391">
        <f>[1]Ukazovatele!E18</f>
        <v>0.27</v>
      </c>
      <c r="E13" s="391"/>
      <c r="F13" s="391"/>
      <c r="G13" s="389"/>
      <c r="H13" s="379">
        <v>1</v>
      </c>
      <c r="I13" s="119">
        <f t="shared" si="0"/>
        <v>0.20300751879699247</v>
      </c>
      <c r="J13" s="376" t="s">
        <v>373</v>
      </c>
      <c r="K13" s="391"/>
      <c r="L13" s="391"/>
      <c r="M13" s="119"/>
      <c r="N13" s="391"/>
      <c r="O13" s="389"/>
    </row>
    <row r="16" spans="1:18" x14ac:dyDescent="0.25">
      <c r="A16" s="375">
        <v>2019</v>
      </c>
      <c r="B16" s="392" t="s">
        <v>248</v>
      </c>
      <c r="C16" s="392"/>
      <c r="D16" s="392" t="s">
        <v>249</v>
      </c>
      <c r="E16" s="392"/>
      <c r="F16" s="376"/>
      <c r="G16" s="376"/>
      <c r="H16" s="375" t="s">
        <v>248</v>
      </c>
      <c r="I16" s="375" t="s">
        <v>369</v>
      </c>
      <c r="J16" s="375" t="s">
        <v>370</v>
      </c>
    </row>
    <row r="17" spans="1:10" x14ac:dyDescent="0.25">
      <c r="A17" s="3" t="s">
        <v>247</v>
      </c>
      <c r="B17" s="390">
        <v>1.36</v>
      </c>
      <c r="C17" s="390"/>
      <c r="D17" s="390">
        <f>'[1]Komparácia odvetvia a podniku'!J2</f>
        <v>2.98</v>
      </c>
      <c r="E17" s="390"/>
      <c r="F17" s="379"/>
      <c r="G17" s="379"/>
      <c r="H17" s="379">
        <v>1</v>
      </c>
      <c r="I17" s="119">
        <f>B17/D17</f>
        <v>0.45637583892617456</v>
      </c>
      <c r="J17" s="376" t="s">
        <v>371</v>
      </c>
    </row>
    <row r="18" spans="1:10" x14ac:dyDescent="0.25">
      <c r="A18" s="3" t="s">
        <v>211</v>
      </c>
      <c r="B18" s="390">
        <v>41.58</v>
      </c>
      <c r="C18" s="390"/>
      <c r="D18" s="390">
        <f>'[1]Komparácia odvetvia a podniku'!J3</f>
        <v>29.04</v>
      </c>
      <c r="E18" s="390"/>
      <c r="F18" s="379"/>
      <c r="G18" s="379"/>
      <c r="H18" s="379">
        <v>1</v>
      </c>
      <c r="I18" s="119">
        <f>B18/D18</f>
        <v>1.4318181818181819</v>
      </c>
      <c r="J18" s="376" t="s">
        <v>371</v>
      </c>
    </row>
    <row r="19" spans="1:10" x14ac:dyDescent="0.25">
      <c r="A19" s="3" t="s">
        <v>212</v>
      </c>
      <c r="B19" s="390">
        <v>2.16</v>
      </c>
      <c r="C19" s="390"/>
      <c r="D19" s="390">
        <f>'[1]Komparácia odvetvia a podniku'!J4</f>
        <v>2.87</v>
      </c>
      <c r="E19" s="390"/>
      <c r="F19" s="379"/>
      <c r="G19" s="379"/>
      <c r="H19" s="379">
        <v>1</v>
      </c>
      <c r="I19" s="119">
        <f>D19/B19</f>
        <v>1.3287037037037037</v>
      </c>
      <c r="J19" s="376" t="s">
        <v>373</v>
      </c>
    </row>
    <row r="20" spans="1:10" x14ac:dyDescent="0.25">
      <c r="A20" s="3" t="s">
        <v>251</v>
      </c>
      <c r="B20" s="390">
        <v>30.88</v>
      </c>
      <c r="C20" s="390"/>
      <c r="D20" s="390">
        <f>'[1]Komparácia odvetvia a podniku'!J5</f>
        <v>29.11</v>
      </c>
      <c r="E20" s="390"/>
      <c r="F20" s="379"/>
      <c r="G20" s="379"/>
      <c r="H20" s="379">
        <v>1</v>
      </c>
      <c r="I20" s="119">
        <f>B20/D20</f>
        <v>1.0608038474750945</v>
      </c>
      <c r="J20" s="376" t="s">
        <v>371</v>
      </c>
    </row>
    <row r="21" spans="1:10" x14ac:dyDescent="0.25">
      <c r="A21" s="3" t="s">
        <v>250</v>
      </c>
      <c r="B21" s="389">
        <v>23.71</v>
      </c>
      <c r="C21" s="389"/>
      <c r="D21" s="390">
        <f>'[1]Komparácia odvetvia a podniku'!J6</f>
        <v>24.47</v>
      </c>
      <c r="E21" s="390"/>
      <c r="F21" s="119"/>
      <c r="G21" s="117"/>
      <c r="H21" s="379">
        <v>1</v>
      </c>
      <c r="I21" s="119">
        <f>D21/B21</f>
        <v>1.032053985660059</v>
      </c>
      <c r="J21" s="376" t="s">
        <v>373</v>
      </c>
    </row>
    <row r="22" spans="1:10" x14ac:dyDescent="0.25">
      <c r="A22" s="3" t="s">
        <v>214</v>
      </c>
      <c r="B22" s="389">
        <v>60.13</v>
      </c>
      <c r="C22" s="389"/>
      <c r="D22" s="390">
        <f>'[1]Komparácia odvetvia a podniku'!J7</f>
        <v>36.25</v>
      </c>
      <c r="E22" s="390"/>
      <c r="F22" s="119"/>
      <c r="G22" s="117"/>
      <c r="H22" s="379">
        <v>1</v>
      </c>
      <c r="I22" s="119">
        <f>D22/B22</f>
        <v>0.60286046898386825</v>
      </c>
      <c r="J22" s="376" t="s">
        <v>373</v>
      </c>
    </row>
    <row r="23" spans="1:10" x14ac:dyDescent="0.25">
      <c r="A23" s="3" t="s">
        <v>216</v>
      </c>
      <c r="B23" s="389">
        <v>2.62</v>
      </c>
      <c r="C23" s="389"/>
      <c r="D23" s="390">
        <f>'[1]Komparácia odvetvia a podniku'!J9</f>
        <v>1.1000000000000001</v>
      </c>
      <c r="E23" s="390"/>
      <c r="F23" s="119"/>
      <c r="G23" s="117"/>
      <c r="H23" s="379">
        <v>1</v>
      </c>
      <c r="I23" s="119">
        <f>B23/D23</f>
        <v>2.3818181818181818</v>
      </c>
      <c r="J23" s="376" t="s">
        <v>371</v>
      </c>
    </row>
    <row r="24" spans="1:10" x14ac:dyDescent="0.25">
      <c r="A24" s="3" t="s">
        <v>252</v>
      </c>
      <c r="B24" s="389">
        <v>8.91</v>
      </c>
      <c r="C24" s="389"/>
      <c r="D24" s="390">
        <f>'[1]Komparácia odvetvia a podniku'!J10</f>
        <v>30.21</v>
      </c>
      <c r="E24" s="390"/>
      <c r="F24" s="119"/>
      <c r="G24" s="117"/>
      <c r="H24" s="379">
        <v>1</v>
      </c>
      <c r="I24" s="119">
        <f>D24/B24</f>
        <v>3.3905723905723906</v>
      </c>
      <c r="J24" s="376" t="s">
        <v>373</v>
      </c>
    </row>
    <row r="25" spans="1:10" x14ac:dyDescent="0.25">
      <c r="A25" s="3" t="s">
        <v>254</v>
      </c>
      <c r="B25" s="389">
        <v>15.96</v>
      </c>
      <c r="C25" s="389"/>
      <c r="D25" s="390">
        <f>'[1]Komparácia odvetvia a podniku'!J11</f>
        <v>47.39</v>
      </c>
      <c r="E25" s="390"/>
      <c r="F25" s="119"/>
      <c r="G25" s="117"/>
      <c r="H25" s="379">
        <v>1</v>
      </c>
      <c r="I25" s="119">
        <f t="shared" ref="I25:I27" si="1">D25/B25</f>
        <v>2.9692982456140351</v>
      </c>
      <c r="J25" s="376" t="s">
        <v>373</v>
      </c>
    </row>
    <row r="26" spans="1:10" x14ac:dyDescent="0.25">
      <c r="A26" s="3" t="s">
        <v>264</v>
      </c>
      <c r="B26" s="389">
        <v>14.12</v>
      </c>
      <c r="C26" s="389"/>
      <c r="D26" s="390">
        <f>'[1]Komparácia odvetvia a podniku'!J12</f>
        <v>10.51</v>
      </c>
      <c r="E26" s="390"/>
      <c r="F26" s="119"/>
      <c r="G26" s="117"/>
      <c r="H26" s="379">
        <v>1</v>
      </c>
      <c r="I26" s="119">
        <f t="shared" si="1"/>
        <v>0.74433427762039661</v>
      </c>
      <c r="J26" s="376" t="s">
        <v>373</v>
      </c>
    </row>
    <row r="27" spans="1:10" x14ac:dyDescent="0.25">
      <c r="A27" s="3" t="s">
        <v>255</v>
      </c>
      <c r="B27" s="391">
        <v>0.54</v>
      </c>
      <c r="C27" s="391"/>
      <c r="D27" s="390">
        <f>'[1]Komparácia odvetvia a podniku'!J13</f>
        <v>0.05</v>
      </c>
      <c r="E27" s="390"/>
      <c r="F27" s="119"/>
      <c r="G27" s="117"/>
      <c r="H27" s="379">
        <v>1</v>
      </c>
      <c r="I27" s="119">
        <f t="shared" si="1"/>
        <v>9.2592592592592587E-2</v>
      </c>
      <c r="J27" s="376" t="s">
        <v>373</v>
      </c>
    </row>
    <row r="28" spans="1:10" x14ac:dyDescent="0.25">
      <c r="A28" s="3"/>
      <c r="B28" s="119"/>
      <c r="C28" s="119"/>
      <c r="D28" s="379"/>
      <c r="E28" s="379"/>
      <c r="F28" s="119"/>
      <c r="G28" s="117"/>
      <c r="H28" s="379"/>
      <c r="I28" s="119"/>
      <c r="J28" s="376"/>
    </row>
    <row r="30" spans="1:10" x14ac:dyDescent="0.25">
      <c r="A30" s="375">
        <v>2018</v>
      </c>
      <c r="B30" s="392" t="s">
        <v>248</v>
      </c>
      <c r="C30" s="392"/>
      <c r="D30" s="392" t="s">
        <v>249</v>
      </c>
      <c r="E30" s="392"/>
      <c r="H30" s="375" t="s">
        <v>248</v>
      </c>
      <c r="I30" s="375" t="s">
        <v>369</v>
      </c>
      <c r="J30" s="375" t="s">
        <v>370</v>
      </c>
    </row>
    <row r="31" spans="1:10" x14ac:dyDescent="0.25">
      <c r="A31" s="3" t="s">
        <v>247</v>
      </c>
      <c r="B31" s="390">
        <v>1.31</v>
      </c>
      <c r="C31" s="390"/>
      <c r="D31" s="390">
        <f>'[1]Komparácia odvetvia a podniku'!D17</f>
        <v>2.83</v>
      </c>
      <c r="E31" s="390"/>
      <c r="H31" s="379">
        <v>1</v>
      </c>
      <c r="I31" s="119">
        <f>B31/D31</f>
        <v>0.4628975265017668</v>
      </c>
      <c r="J31" s="376" t="s">
        <v>371</v>
      </c>
    </row>
    <row r="32" spans="1:10" x14ac:dyDescent="0.25">
      <c r="A32" s="3" t="s">
        <v>211</v>
      </c>
      <c r="B32" s="390">
        <v>45.12</v>
      </c>
      <c r="C32" s="390"/>
      <c r="D32" s="390">
        <f>'[1]Komparácia odvetvia a podniku'!D18</f>
        <v>32.909999999999997</v>
      </c>
      <c r="E32" s="390"/>
      <c r="H32" s="379">
        <v>1</v>
      </c>
      <c r="I32" s="119">
        <f>B32/D32</f>
        <v>1.3710118505013675</v>
      </c>
      <c r="J32" s="376" t="s">
        <v>371</v>
      </c>
    </row>
    <row r="33" spans="1:10" x14ac:dyDescent="0.25">
      <c r="A33" s="3" t="s">
        <v>212</v>
      </c>
      <c r="B33" s="390">
        <v>1.59</v>
      </c>
      <c r="C33" s="390"/>
      <c r="D33" s="390">
        <f>'[1]Komparácia odvetvia a podniku'!D19</f>
        <v>2.5499999999999998</v>
      </c>
      <c r="E33" s="390"/>
      <c r="H33" s="379">
        <v>1</v>
      </c>
      <c r="I33" s="119">
        <f>D33/B33</f>
        <v>1.6037735849056602</v>
      </c>
      <c r="J33" s="376" t="s">
        <v>373</v>
      </c>
    </row>
    <row r="34" spans="1:10" x14ac:dyDescent="0.25">
      <c r="A34" s="3" t="s">
        <v>251</v>
      </c>
      <c r="B34" s="390">
        <v>32.15</v>
      </c>
      <c r="C34" s="390"/>
      <c r="D34" s="390">
        <f>'[1]Komparácia odvetvia a podniku'!D20</f>
        <v>64.33</v>
      </c>
      <c r="E34" s="390"/>
      <c r="H34" s="379">
        <v>1</v>
      </c>
      <c r="I34" s="119">
        <f>B34/D34</f>
        <v>0.49976682729675109</v>
      </c>
      <c r="J34" s="376" t="s">
        <v>371</v>
      </c>
    </row>
    <row r="35" spans="1:10" x14ac:dyDescent="0.25">
      <c r="A35" s="3" t="s">
        <v>250</v>
      </c>
      <c r="B35" s="389">
        <v>31.71</v>
      </c>
      <c r="C35" s="389"/>
      <c r="D35" s="390">
        <f>'[1]Komparácia odvetvia a podniku'!D21</f>
        <v>30.43</v>
      </c>
      <c r="E35" s="390"/>
      <c r="H35" s="379">
        <v>1</v>
      </c>
      <c r="I35" s="119">
        <f>D35/B35</f>
        <v>0.95963418479974771</v>
      </c>
      <c r="J35" s="376" t="s">
        <v>373</v>
      </c>
    </row>
    <row r="36" spans="1:10" x14ac:dyDescent="0.25">
      <c r="A36" s="3" t="s">
        <v>214</v>
      </c>
      <c r="B36" s="391">
        <v>67.2</v>
      </c>
      <c r="C36" s="391"/>
      <c r="D36" s="390">
        <f>'[1]Komparácia odvetvia a podniku'!D22</f>
        <v>38.75</v>
      </c>
      <c r="E36" s="390"/>
      <c r="H36" s="379">
        <v>1</v>
      </c>
      <c r="I36" s="119">
        <f>D36/B36</f>
        <v>0.57663690476190477</v>
      </c>
      <c r="J36" s="376" t="s">
        <v>373</v>
      </c>
    </row>
    <row r="37" spans="1:10" x14ac:dyDescent="0.25">
      <c r="A37" s="3" t="s">
        <v>216</v>
      </c>
      <c r="B37" s="389">
        <v>3.37</v>
      </c>
      <c r="C37" s="389"/>
      <c r="D37" s="390">
        <f>'[1]Komparácia odvetvia a podniku'!D24</f>
        <v>1.21</v>
      </c>
      <c r="E37" s="390"/>
      <c r="H37" s="379">
        <v>1</v>
      </c>
      <c r="I37" s="119">
        <f>B37/D37</f>
        <v>2.785123966942149</v>
      </c>
      <c r="J37" s="376" t="s">
        <v>371</v>
      </c>
    </row>
    <row r="38" spans="1:10" x14ac:dyDescent="0.25">
      <c r="A38" s="3" t="s">
        <v>252</v>
      </c>
      <c r="B38" s="389">
        <v>5.34</v>
      </c>
      <c r="C38" s="389"/>
      <c r="D38" s="390">
        <f>'[1]Komparácia odvetvia a podniku'!D25</f>
        <v>29.49</v>
      </c>
      <c r="E38" s="390"/>
      <c r="H38" s="379">
        <v>1</v>
      </c>
      <c r="I38" s="119">
        <f>D38/B38</f>
        <v>5.5224719101123592</v>
      </c>
      <c r="J38" s="376" t="s">
        <v>373</v>
      </c>
    </row>
    <row r="39" spans="1:10" x14ac:dyDescent="0.25">
      <c r="A39" s="3" t="s">
        <v>254</v>
      </c>
      <c r="B39" s="389">
        <v>14.87</v>
      </c>
      <c r="C39" s="389"/>
      <c r="D39" s="390">
        <f>'[1]Komparácia odvetvia a podniku'!D26</f>
        <v>48.15</v>
      </c>
      <c r="E39" s="390"/>
      <c r="H39" s="379">
        <v>1</v>
      </c>
      <c r="I39" s="119">
        <f t="shared" ref="I39:I41" si="2">D39/B39</f>
        <v>3.2380632145258912</v>
      </c>
      <c r="J39" s="376" t="s">
        <v>373</v>
      </c>
    </row>
    <row r="40" spans="1:10" x14ac:dyDescent="0.25">
      <c r="A40" s="3" t="s">
        <v>264</v>
      </c>
      <c r="B40" s="389">
        <v>12.08</v>
      </c>
      <c r="C40" s="389"/>
      <c r="D40" s="390">
        <f>'[1]Komparácia odvetvia a podniku'!D27</f>
        <v>11.55</v>
      </c>
      <c r="E40" s="390"/>
      <c r="H40" s="379">
        <v>1</v>
      </c>
      <c r="I40" s="119">
        <f t="shared" si="2"/>
        <v>0.95612582781456956</v>
      </c>
      <c r="J40" s="376" t="s">
        <v>373</v>
      </c>
    </row>
    <row r="41" spans="1:10" x14ac:dyDescent="0.25">
      <c r="A41" s="3" t="s">
        <v>255</v>
      </c>
      <c r="B41" s="391">
        <v>0.86</v>
      </c>
      <c r="C41" s="391"/>
      <c r="D41" s="390">
        <f>'[1]Komparácia odvetvia a podniku'!D28</f>
        <v>0.05</v>
      </c>
      <c r="E41" s="390"/>
      <c r="H41" s="379">
        <v>1</v>
      </c>
      <c r="I41" s="119">
        <f t="shared" si="2"/>
        <v>5.8139534883720936E-2</v>
      </c>
      <c r="J41" s="376" t="s">
        <v>373</v>
      </c>
    </row>
  </sheetData>
  <mergeCells count="96">
    <mergeCell ref="B2:C2"/>
    <mergeCell ref="D2:G2"/>
    <mergeCell ref="K2:L2"/>
    <mergeCell ref="N2:O2"/>
    <mergeCell ref="B3:C3"/>
    <mergeCell ref="D3:G3"/>
    <mergeCell ref="K3:L3"/>
    <mergeCell ref="N3:O3"/>
    <mergeCell ref="B4:C4"/>
    <mergeCell ref="D4:G4"/>
    <mergeCell ref="K4:L4"/>
    <mergeCell ref="N4:O4"/>
    <mergeCell ref="B5:C5"/>
    <mergeCell ref="D5:G5"/>
    <mergeCell ref="K5:L5"/>
    <mergeCell ref="N5:O5"/>
    <mergeCell ref="B6:C6"/>
    <mergeCell ref="D6:G6"/>
    <mergeCell ref="K6:L6"/>
    <mergeCell ref="N6:O6"/>
    <mergeCell ref="B7:C7"/>
    <mergeCell ref="D7:G7"/>
    <mergeCell ref="K7:L7"/>
    <mergeCell ref="N7:O7"/>
    <mergeCell ref="B8:C8"/>
    <mergeCell ref="D8:G8"/>
    <mergeCell ref="K8:L8"/>
    <mergeCell ref="N8:O8"/>
    <mergeCell ref="B9:C9"/>
    <mergeCell ref="D9:G9"/>
    <mergeCell ref="K9:L9"/>
    <mergeCell ref="N9:O9"/>
    <mergeCell ref="B10:C10"/>
    <mergeCell ref="D10:G10"/>
    <mergeCell ref="K10:L10"/>
    <mergeCell ref="N10:O10"/>
    <mergeCell ref="B11:C11"/>
    <mergeCell ref="D11:G11"/>
    <mergeCell ref="K11:L11"/>
    <mergeCell ref="N11:O11"/>
    <mergeCell ref="B12:C12"/>
    <mergeCell ref="D12:G12"/>
    <mergeCell ref="K12:L12"/>
    <mergeCell ref="N12:O12"/>
    <mergeCell ref="B13:C13"/>
    <mergeCell ref="D13:G13"/>
    <mergeCell ref="K13:L13"/>
    <mergeCell ref="N13:O13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B41:C41"/>
    <mergeCell ref="D41:E4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F42C3-533A-4121-A119-94CB86A3B9E5}">
  <sheetPr>
    <tabColor theme="9" tint="-0.499984740745262"/>
  </sheetPr>
  <dimension ref="A1:K80"/>
  <sheetViews>
    <sheetView topLeftCell="A29" zoomScale="80" zoomScaleNormal="80" workbookViewId="0">
      <selection activeCell="F35" sqref="F35"/>
    </sheetView>
  </sheetViews>
  <sheetFormatPr defaultRowHeight="15" x14ac:dyDescent="0.25"/>
  <cols>
    <col min="1" max="1" width="97.28515625" bestFit="1" customWidth="1"/>
    <col min="2" max="3" width="9.140625" bestFit="1" customWidth="1"/>
    <col min="4" max="5" width="10.140625" bestFit="1" customWidth="1"/>
    <col min="7" max="7" width="91.85546875" bestFit="1" customWidth="1"/>
    <col min="8" max="9" width="10" bestFit="1" customWidth="1"/>
    <col min="10" max="11" width="11" bestFit="1" customWidth="1"/>
  </cols>
  <sheetData>
    <row r="1" spans="1:11" ht="15.75" thickBot="1" x14ac:dyDescent="0.3">
      <c r="A1" s="28" t="s">
        <v>11</v>
      </c>
      <c r="B1" s="29">
        <v>2018</v>
      </c>
      <c r="C1" s="30">
        <v>2019</v>
      </c>
      <c r="D1" s="30">
        <v>2020</v>
      </c>
      <c r="E1" s="30">
        <v>2021</v>
      </c>
      <c r="F1" s="26"/>
      <c r="G1" s="28" t="s">
        <v>86</v>
      </c>
      <c r="H1" s="29">
        <v>2018</v>
      </c>
      <c r="I1" s="30">
        <v>2019</v>
      </c>
      <c r="J1" s="30">
        <v>2020</v>
      </c>
      <c r="K1" s="30">
        <v>2021</v>
      </c>
    </row>
    <row r="2" spans="1:11" ht="15.75" thickBot="1" x14ac:dyDescent="0.3">
      <c r="A2" s="31" t="s">
        <v>12</v>
      </c>
      <c r="B2" s="32">
        <v>9124849</v>
      </c>
      <c r="C2" s="33">
        <v>8770194</v>
      </c>
      <c r="D2" s="33">
        <v>10828574</v>
      </c>
      <c r="E2" s="33">
        <v>11021744</v>
      </c>
      <c r="F2" s="34"/>
      <c r="G2" s="31" t="s">
        <v>87</v>
      </c>
      <c r="H2" s="35">
        <v>9124849</v>
      </c>
      <c r="I2" s="36">
        <v>8770194</v>
      </c>
      <c r="J2" s="33">
        <v>10828574</v>
      </c>
      <c r="K2" s="33">
        <v>11021744</v>
      </c>
    </row>
    <row r="3" spans="1:11" ht="15.75" thickBot="1" x14ac:dyDescent="0.3">
      <c r="A3" s="37" t="s">
        <v>13</v>
      </c>
      <c r="B3" s="38">
        <v>1865710</v>
      </c>
      <c r="C3" s="39">
        <v>1769333</v>
      </c>
      <c r="D3" s="39">
        <v>1950654</v>
      </c>
      <c r="E3" s="39">
        <v>1924453</v>
      </c>
      <c r="F3" s="34"/>
      <c r="G3" s="37" t="s">
        <v>88</v>
      </c>
      <c r="H3" s="40">
        <v>5588687</v>
      </c>
      <c r="I3" s="41">
        <v>5590965</v>
      </c>
      <c r="J3" s="39">
        <v>6618673</v>
      </c>
      <c r="K3" s="39">
        <v>7530026</v>
      </c>
    </row>
    <row r="4" spans="1:11" x14ac:dyDescent="0.25">
      <c r="A4" s="42" t="s">
        <v>14</v>
      </c>
      <c r="B4" s="43">
        <v>6197</v>
      </c>
      <c r="C4" s="44">
        <v>3580</v>
      </c>
      <c r="D4" s="44">
        <v>963</v>
      </c>
      <c r="E4" s="44">
        <v>0</v>
      </c>
      <c r="F4" s="34"/>
      <c r="G4" s="42" t="s">
        <v>89</v>
      </c>
      <c r="H4" s="45">
        <v>2632312</v>
      </c>
      <c r="I4" s="46">
        <v>2632312</v>
      </c>
      <c r="J4" s="44">
        <v>2632312</v>
      </c>
      <c r="K4" s="44">
        <v>2632312</v>
      </c>
    </row>
    <row r="5" spans="1:11" x14ac:dyDescent="0.25">
      <c r="A5" s="47" t="s">
        <v>15</v>
      </c>
      <c r="B5" s="48"/>
      <c r="C5" s="49"/>
      <c r="D5" s="49"/>
      <c r="E5" s="49"/>
      <c r="F5" s="26"/>
      <c r="G5" s="50" t="s">
        <v>90</v>
      </c>
      <c r="H5" s="51">
        <v>2632312</v>
      </c>
      <c r="I5" s="52">
        <v>2632312</v>
      </c>
      <c r="J5" s="53">
        <v>2632312</v>
      </c>
      <c r="K5" s="53">
        <v>2632312</v>
      </c>
    </row>
    <row r="6" spans="1:11" x14ac:dyDescent="0.25">
      <c r="A6" s="47" t="s">
        <v>16</v>
      </c>
      <c r="B6" s="48">
        <v>6197</v>
      </c>
      <c r="C6" s="49">
        <v>3580</v>
      </c>
      <c r="D6" s="49">
        <v>963</v>
      </c>
      <c r="E6" s="49"/>
      <c r="F6" s="26"/>
      <c r="G6" s="47" t="s">
        <v>91</v>
      </c>
      <c r="H6" s="54"/>
      <c r="I6" s="55"/>
      <c r="J6" s="49"/>
      <c r="K6" s="49"/>
    </row>
    <row r="7" spans="1:11" x14ac:dyDescent="0.25">
      <c r="A7" s="47" t="s">
        <v>17</v>
      </c>
      <c r="B7" s="48"/>
      <c r="C7" s="49"/>
      <c r="D7" s="49"/>
      <c r="E7" s="49"/>
      <c r="F7" s="26"/>
      <c r="G7" s="47" t="s">
        <v>92</v>
      </c>
      <c r="H7" s="54"/>
      <c r="I7" s="55"/>
      <c r="J7" s="49"/>
      <c r="K7" s="49"/>
    </row>
    <row r="8" spans="1:11" x14ac:dyDescent="0.25">
      <c r="A8" s="47" t="s">
        <v>18</v>
      </c>
      <c r="B8" s="48"/>
      <c r="C8" s="49"/>
      <c r="D8" s="49"/>
      <c r="E8" s="49"/>
      <c r="F8" s="26"/>
      <c r="G8" s="56" t="s">
        <v>93</v>
      </c>
      <c r="H8" s="51"/>
      <c r="I8" s="52"/>
      <c r="J8" s="53"/>
      <c r="K8" s="53"/>
    </row>
    <row r="9" spans="1:11" x14ac:dyDescent="0.25">
      <c r="A9" s="47" t="s">
        <v>19</v>
      </c>
      <c r="B9" s="48"/>
      <c r="C9" s="49"/>
      <c r="D9" s="49"/>
      <c r="E9" s="49"/>
      <c r="F9" s="26"/>
      <c r="G9" s="56" t="s">
        <v>94</v>
      </c>
      <c r="H9" s="51"/>
      <c r="I9" s="52"/>
      <c r="J9" s="53"/>
      <c r="K9" s="53"/>
    </row>
    <row r="10" spans="1:11" x14ac:dyDescent="0.25">
      <c r="A10" s="47" t="s">
        <v>20</v>
      </c>
      <c r="B10" s="48"/>
      <c r="C10" s="49"/>
      <c r="D10" s="49"/>
      <c r="E10" s="49"/>
      <c r="F10" s="26"/>
      <c r="G10" s="56" t="s">
        <v>95</v>
      </c>
      <c r="H10" s="51">
        <v>309000</v>
      </c>
      <c r="I10" s="52">
        <v>309000</v>
      </c>
      <c r="J10" s="53">
        <v>309000</v>
      </c>
      <c r="K10" s="53">
        <v>309000</v>
      </c>
    </row>
    <row r="11" spans="1:11" x14ac:dyDescent="0.25">
      <c r="A11" s="47" t="s">
        <v>21</v>
      </c>
      <c r="B11" s="48"/>
      <c r="C11" s="49"/>
      <c r="D11" s="49"/>
      <c r="E11" s="49"/>
      <c r="F11" s="26"/>
      <c r="G11" s="50" t="s">
        <v>96</v>
      </c>
      <c r="H11" s="51">
        <v>309000</v>
      </c>
      <c r="I11" s="52">
        <v>309000</v>
      </c>
      <c r="J11" s="53">
        <v>309000</v>
      </c>
      <c r="K11" s="53">
        <v>309000</v>
      </c>
    </row>
    <row r="12" spans="1:11" x14ac:dyDescent="0.25">
      <c r="A12" s="56" t="s">
        <v>22</v>
      </c>
      <c r="B12" s="57">
        <v>1859513</v>
      </c>
      <c r="C12" s="53">
        <v>1765753</v>
      </c>
      <c r="D12" s="53">
        <v>1949691</v>
      </c>
      <c r="E12" s="53">
        <v>1924453</v>
      </c>
      <c r="F12" s="34"/>
      <c r="G12" s="47" t="s">
        <v>97</v>
      </c>
      <c r="H12" s="54"/>
      <c r="I12" s="55"/>
      <c r="J12" s="58"/>
      <c r="K12" s="58"/>
    </row>
    <row r="13" spans="1:11" x14ac:dyDescent="0.25">
      <c r="A13" s="47" t="s">
        <v>23</v>
      </c>
      <c r="B13" s="48"/>
      <c r="C13" s="49"/>
      <c r="D13" s="49"/>
      <c r="E13" s="49"/>
      <c r="F13" s="26"/>
      <c r="G13" s="56" t="s">
        <v>98</v>
      </c>
      <c r="H13" s="51"/>
      <c r="I13" s="52"/>
      <c r="J13" s="53"/>
      <c r="K13" s="53"/>
    </row>
    <row r="14" spans="1:11" x14ac:dyDescent="0.25">
      <c r="A14" s="47" t="s">
        <v>24</v>
      </c>
      <c r="B14" s="48"/>
      <c r="C14" s="49"/>
      <c r="D14" s="49">
        <v>21761</v>
      </c>
      <c r="E14" s="49">
        <v>707182</v>
      </c>
      <c r="F14" s="26"/>
      <c r="G14" s="47" t="s">
        <v>99</v>
      </c>
      <c r="H14" s="54"/>
      <c r="I14" s="55"/>
      <c r="J14" s="49"/>
      <c r="K14" s="49"/>
    </row>
    <row r="15" spans="1:11" x14ac:dyDescent="0.25">
      <c r="A15" s="47" t="s">
        <v>25</v>
      </c>
      <c r="B15" s="48">
        <v>1009130</v>
      </c>
      <c r="C15" s="49">
        <v>918142</v>
      </c>
      <c r="D15" s="49">
        <v>1238701</v>
      </c>
      <c r="E15" s="49">
        <v>1129586</v>
      </c>
      <c r="F15" s="26"/>
      <c r="G15" s="47" t="s">
        <v>100</v>
      </c>
      <c r="H15" s="54"/>
      <c r="I15" s="55"/>
      <c r="J15" s="49"/>
      <c r="K15" s="49"/>
    </row>
    <row r="16" spans="1:11" x14ac:dyDescent="0.25">
      <c r="A16" s="47" t="s">
        <v>26</v>
      </c>
      <c r="B16" s="48"/>
      <c r="C16" s="49"/>
      <c r="D16" s="49"/>
      <c r="E16" s="49"/>
      <c r="F16" s="26"/>
      <c r="G16" s="59" t="s">
        <v>101</v>
      </c>
      <c r="H16" s="60">
        <v>-43798</v>
      </c>
      <c r="I16" s="61"/>
      <c r="J16" s="58">
        <v>37268</v>
      </c>
      <c r="K16" s="58">
        <v>52086</v>
      </c>
    </row>
    <row r="17" spans="1:11" x14ac:dyDescent="0.25">
      <c r="A17" s="47" t="s">
        <v>27</v>
      </c>
      <c r="B17" s="48"/>
      <c r="C17" s="49"/>
      <c r="D17" s="49"/>
      <c r="E17" s="49"/>
      <c r="F17" s="26"/>
      <c r="G17" s="47" t="s">
        <v>102</v>
      </c>
      <c r="H17" s="54">
        <v>-43798</v>
      </c>
      <c r="I17" s="55"/>
      <c r="J17" s="49">
        <v>37268</v>
      </c>
      <c r="K17" s="49">
        <v>52086</v>
      </c>
    </row>
    <row r="18" spans="1:11" x14ac:dyDescent="0.25">
      <c r="A18" s="47" t="s">
        <v>28</v>
      </c>
      <c r="B18" s="48">
        <v>809671</v>
      </c>
      <c r="C18" s="49">
        <v>764786</v>
      </c>
      <c r="D18" s="49">
        <v>686907</v>
      </c>
      <c r="E18" s="49"/>
      <c r="F18" s="26"/>
      <c r="G18" s="47" t="s">
        <v>103</v>
      </c>
      <c r="H18" s="54"/>
      <c r="I18" s="55"/>
      <c r="J18" s="49"/>
      <c r="K18" s="49"/>
    </row>
    <row r="19" spans="1:11" x14ac:dyDescent="0.25">
      <c r="A19" s="47" t="s">
        <v>29</v>
      </c>
      <c r="B19" s="48">
        <v>40712</v>
      </c>
      <c r="C19" s="49">
        <v>27025</v>
      </c>
      <c r="D19" s="49">
        <v>2322</v>
      </c>
      <c r="E19" s="49"/>
      <c r="F19" s="26"/>
      <c r="G19" s="47" t="s">
        <v>104</v>
      </c>
      <c r="H19" s="54"/>
      <c r="I19" s="55"/>
      <c r="J19" s="49"/>
      <c r="K19" s="49"/>
    </row>
    <row r="20" spans="1:11" x14ac:dyDescent="0.25">
      <c r="A20" s="47" t="s">
        <v>30</v>
      </c>
      <c r="B20" s="48"/>
      <c r="C20" s="49">
        <v>55800</v>
      </c>
      <c r="D20" s="49">
        <v>0</v>
      </c>
      <c r="E20" s="49">
        <v>87685</v>
      </c>
      <c r="F20" s="26"/>
      <c r="G20" s="56" t="s">
        <v>105</v>
      </c>
      <c r="H20" s="51"/>
      <c r="I20" s="52"/>
      <c r="J20" s="53"/>
      <c r="K20" s="53"/>
    </row>
    <row r="21" spans="1:11" x14ac:dyDescent="0.25">
      <c r="A21" s="47" t="s">
        <v>31</v>
      </c>
      <c r="B21" s="48"/>
      <c r="C21" s="49"/>
      <c r="D21" s="49"/>
      <c r="E21" s="49"/>
      <c r="F21" s="26"/>
      <c r="G21" s="47" t="s">
        <v>106</v>
      </c>
      <c r="H21" s="54"/>
      <c r="I21" s="55"/>
      <c r="J21" s="49"/>
      <c r="K21" s="49"/>
    </row>
    <row r="22" spans="1:11" x14ac:dyDescent="0.25">
      <c r="A22" s="56" t="s">
        <v>32</v>
      </c>
      <c r="B22" s="57"/>
      <c r="C22" s="53"/>
      <c r="D22" s="53"/>
      <c r="E22" s="53"/>
      <c r="F22" s="34"/>
      <c r="G22" s="47" t="s">
        <v>107</v>
      </c>
      <c r="H22" s="54"/>
      <c r="I22" s="55"/>
      <c r="J22" s="58"/>
      <c r="K22" s="58"/>
    </row>
    <row r="23" spans="1:11" ht="15.75" thickBot="1" x14ac:dyDescent="0.3">
      <c r="A23" s="47" t="s">
        <v>33</v>
      </c>
      <c r="B23" s="48"/>
      <c r="C23" s="49"/>
      <c r="D23" s="49"/>
      <c r="E23" s="49"/>
      <c r="F23" s="26"/>
      <c r="G23" s="62" t="s">
        <v>108</v>
      </c>
      <c r="H23" s="63">
        <v>2691173</v>
      </c>
      <c r="I23" s="64">
        <v>2649653</v>
      </c>
      <c r="J23" s="65">
        <v>3640093</v>
      </c>
      <c r="K23" s="65">
        <v>4536628</v>
      </c>
    </row>
    <row r="24" spans="1:11" ht="15.75" thickBot="1" x14ac:dyDescent="0.3">
      <c r="A24" s="47" t="s">
        <v>34</v>
      </c>
      <c r="B24" s="48"/>
      <c r="C24" s="49"/>
      <c r="D24" s="49"/>
      <c r="E24" s="49"/>
      <c r="F24" s="26"/>
      <c r="G24" s="37" t="s">
        <v>109</v>
      </c>
      <c r="H24" s="40">
        <v>3536162</v>
      </c>
      <c r="I24" s="41">
        <v>3179229</v>
      </c>
      <c r="J24" s="39">
        <v>4209901</v>
      </c>
      <c r="K24" s="39">
        <v>3491718</v>
      </c>
    </row>
    <row r="25" spans="1:11" x14ac:dyDescent="0.25">
      <c r="A25" s="47" t="s">
        <v>35</v>
      </c>
      <c r="B25" s="48"/>
      <c r="C25" s="49"/>
      <c r="D25" s="49"/>
      <c r="E25" s="49"/>
      <c r="F25" s="26"/>
      <c r="G25" s="42" t="s">
        <v>110</v>
      </c>
      <c r="H25" s="45">
        <v>155649</v>
      </c>
      <c r="I25" s="46">
        <v>176339</v>
      </c>
      <c r="J25" s="44">
        <v>175520</v>
      </c>
      <c r="K25" s="44">
        <v>24942</v>
      </c>
    </row>
    <row r="26" spans="1:11" x14ac:dyDescent="0.25">
      <c r="A26" s="47" t="s">
        <v>36</v>
      </c>
      <c r="B26" s="48"/>
      <c r="C26" s="49"/>
      <c r="D26" s="49"/>
      <c r="E26" s="49"/>
      <c r="F26" s="26"/>
      <c r="G26" s="56" t="s">
        <v>111</v>
      </c>
      <c r="H26" s="51"/>
      <c r="I26" s="52"/>
      <c r="J26" s="53"/>
      <c r="K26" s="53"/>
    </row>
    <row r="27" spans="1:11" x14ac:dyDescent="0.25">
      <c r="A27" s="47" t="s">
        <v>37</v>
      </c>
      <c r="B27" s="48"/>
      <c r="C27" s="49"/>
      <c r="D27" s="49"/>
      <c r="E27" s="49"/>
      <c r="F27" s="26"/>
      <c r="G27" s="47" t="s">
        <v>112</v>
      </c>
      <c r="H27" s="54"/>
      <c r="I27" s="55"/>
      <c r="J27" s="49"/>
      <c r="K27" s="49"/>
    </row>
    <row r="28" spans="1:11" x14ac:dyDescent="0.25">
      <c r="A28" s="47" t="s">
        <v>38</v>
      </c>
      <c r="B28" s="48"/>
      <c r="C28" s="49"/>
      <c r="D28" s="49"/>
      <c r="E28" s="49"/>
      <c r="F28" s="26"/>
      <c r="G28" s="47" t="s">
        <v>113</v>
      </c>
      <c r="H28" s="54"/>
      <c r="I28" s="55"/>
      <c r="J28" s="49"/>
      <c r="K28" s="49"/>
    </row>
    <row r="29" spans="1:11" x14ac:dyDescent="0.25">
      <c r="A29" s="47" t="s">
        <v>39</v>
      </c>
      <c r="B29" s="48"/>
      <c r="C29" s="49"/>
      <c r="D29" s="49"/>
      <c r="E29" s="49"/>
      <c r="F29" s="26"/>
      <c r="G29" s="47" t="s">
        <v>114</v>
      </c>
      <c r="H29" s="54"/>
      <c r="I29" s="55"/>
      <c r="J29" s="49"/>
      <c r="K29" s="49"/>
    </row>
    <row r="30" spans="1:11" x14ac:dyDescent="0.25">
      <c r="A30" s="47" t="s">
        <v>40</v>
      </c>
      <c r="B30" s="48"/>
      <c r="C30" s="49"/>
      <c r="D30" s="49"/>
      <c r="E30" s="49"/>
      <c r="F30" s="26"/>
      <c r="G30" s="47" t="s">
        <v>57</v>
      </c>
      <c r="H30" s="54"/>
      <c r="I30" s="55"/>
      <c r="J30" s="49"/>
      <c r="K30" s="49"/>
    </row>
    <row r="31" spans="1:11" x14ac:dyDescent="0.25">
      <c r="A31" s="47" t="s">
        <v>41</v>
      </c>
      <c r="B31" s="48"/>
      <c r="C31" s="49"/>
      <c r="D31" s="49"/>
      <c r="E31" s="49"/>
      <c r="F31" s="26"/>
      <c r="G31" s="47" t="s">
        <v>115</v>
      </c>
      <c r="H31" s="54"/>
      <c r="I31" s="55"/>
      <c r="J31" s="49"/>
      <c r="K31" s="49"/>
    </row>
    <row r="32" spans="1:11" x14ac:dyDescent="0.25">
      <c r="A32" s="47" t="s">
        <v>42</v>
      </c>
      <c r="B32" s="48"/>
      <c r="C32" s="49"/>
      <c r="D32" s="49"/>
      <c r="E32" s="49"/>
      <c r="F32" s="26"/>
      <c r="G32" s="47" t="s">
        <v>116</v>
      </c>
      <c r="H32" s="54"/>
      <c r="I32" s="55"/>
      <c r="J32" s="49"/>
      <c r="K32" s="49"/>
    </row>
    <row r="33" spans="1:11" ht="15.75" thickBot="1" x14ac:dyDescent="0.3">
      <c r="A33" s="66" t="s">
        <v>43</v>
      </c>
      <c r="B33" s="67"/>
      <c r="C33" s="68"/>
      <c r="D33" s="68"/>
      <c r="E33" s="68"/>
      <c r="F33" s="26"/>
      <c r="G33" s="47" t="s">
        <v>117</v>
      </c>
      <c r="H33" s="54"/>
      <c r="I33" s="55"/>
      <c r="J33" s="49"/>
      <c r="K33" s="49"/>
    </row>
    <row r="34" spans="1:11" ht="15.75" thickBot="1" x14ac:dyDescent="0.3">
      <c r="A34" s="37" t="s">
        <v>44</v>
      </c>
      <c r="B34" s="38">
        <v>7247204</v>
      </c>
      <c r="C34" s="39">
        <v>6988247</v>
      </c>
      <c r="D34" s="39">
        <v>8863348</v>
      </c>
      <c r="E34" s="39">
        <v>9063225</v>
      </c>
      <c r="F34" s="34"/>
      <c r="G34" s="47" t="s">
        <v>118</v>
      </c>
      <c r="H34" s="54"/>
      <c r="I34" s="55"/>
      <c r="J34" s="58"/>
      <c r="K34" s="58"/>
    </row>
    <row r="35" spans="1:11" x14ac:dyDescent="0.25">
      <c r="A35" s="42" t="s">
        <v>45</v>
      </c>
      <c r="B35" s="43">
        <v>2130014</v>
      </c>
      <c r="C35" s="44">
        <v>2033444</v>
      </c>
      <c r="D35" s="44">
        <v>1572406</v>
      </c>
      <c r="E35" s="44">
        <v>2048953</v>
      </c>
      <c r="F35" s="34"/>
      <c r="G35" s="47" t="s">
        <v>119</v>
      </c>
      <c r="H35" s="54"/>
      <c r="I35" s="55"/>
      <c r="J35" s="58"/>
      <c r="K35" s="58"/>
    </row>
    <row r="36" spans="1:11" x14ac:dyDescent="0.25">
      <c r="A36" s="47" t="s">
        <v>46</v>
      </c>
      <c r="B36" s="48">
        <v>1150583</v>
      </c>
      <c r="C36" s="49">
        <v>906581</v>
      </c>
      <c r="D36" s="49">
        <v>905266</v>
      </c>
      <c r="E36" s="49">
        <v>1029807</v>
      </c>
      <c r="F36" s="26"/>
      <c r="G36" s="47" t="s">
        <v>120</v>
      </c>
      <c r="H36" s="54"/>
      <c r="I36" s="55"/>
      <c r="J36" s="49"/>
      <c r="K36" s="49"/>
    </row>
    <row r="37" spans="1:11" x14ac:dyDescent="0.25">
      <c r="A37" s="47" t="s">
        <v>47</v>
      </c>
      <c r="B37" s="48">
        <v>6052</v>
      </c>
      <c r="C37" s="49">
        <v>1389</v>
      </c>
      <c r="D37" s="49">
        <v>3970</v>
      </c>
      <c r="E37" s="49"/>
      <c r="F37" s="26"/>
      <c r="G37" s="47" t="s">
        <v>121</v>
      </c>
      <c r="H37" s="54">
        <v>12526</v>
      </c>
      <c r="I37" s="55">
        <v>20497</v>
      </c>
      <c r="J37" s="49">
        <v>23845</v>
      </c>
      <c r="K37" s="49">
        <v>24942</v>
      </c>
    </row>
    <row r="38" spans="1:11" x14ac:dyDescent="0.25">
      <c r="A38" s="47" t="s">
        <v>48</v>
      </c>
      <c r="B38" s="48">
        <v>245891</v>
      </c>
      <c r="C38" s="49">
        <v>294483</v>
      </c>
      <c r="D38" s="49">
        <v>211010</v>
      </c>
      <c r="E38" s="49">
        <v>297534</v>
      </c>
      <c r="F38" s="26"/>
      <c r="G38" s="47" t="s">
        <v>122</v>
      </c>
      <c r="H38" s="54"/>
      <c r="I38" s="55"/>
      <c r="J38" s="49"/>
      <c r="K38" s="49"/>
    </row>
    <row r="39" spans="1:11" x14ac:dyDescent="0.25">
      <c r="A39" s="47" t="s">
        <v>49</v>
      </c>
      <c r="B39" s="48"/>
      <c r="C39" s="49"/>
      <c r="D39" s="49"/>
      <c r="E39" s="49"/>
      <c r="F39" s="26"/>
      <c r="G39" s="47" t="s">
        <v>123</v>
      </c>
      <c r="H39" s="54"/>
      <c r="I39" s="55"/>
      <c r="J39" s="49"/>
      <c r="K39" s="49"/>
    </row>
    <row r="40" spans="1:11" x14ac:dyDescent="0.25">
      <c r="A40" s="47" t="s">
        <v>50</v>
      </c>
      <c r="B40" s="48">
        <v>727488</v>
      </c>
      <c r="C40" s="49">
        <v>830991</v>
      </c>
      <c r="D40" s="49">
        <v>452160</v>
      </c>
      <c r="E40" s="49">
        <v>721612</v>
      </c>
      <c r="F40" s="26"/>
      <c r="G40" s="47" t="s">
        <v>124</v>
      </c>
      <c r="H40" s="54">
        <v>143123</v>
      </c>
      <c r="I40" s="55">
        <v>155842</v>
      </c>
      <c r="J40" s="49">
        <v>151675</v>
      </c>
      <c r="K40" s="49"/>
    </row>
    <row r="41" spans="1:11" x14ac:dyDescent="0.25">
      <c r="A41" s="47" t="s">
        <v>51</v>
      </c>
      <c r="B41" s="48"/>
      <c r="C41" s="49"/>
      <c r="D41" s="49"/>
      <c r="E41" s="49"/>
      <c r="F41" s="26"/>
      <c r="G41" s="56" t="s">
        <v>125</v>
      </c>
      <c r="H41" s="51">
        <v>195222</v>
      </c>
      <c r="I41" s="52">
        <v>189859</v>
      </c>
      <c r="J41" s="53">
        <v>177337</v>
      </c>
      <c r="K41" s="53">
        <v>165007</v>
      </c>
    </row>
    <row r="42" spans="1:11" x14ac:dyDescent="0.25">
      <c r="A42" s="56" t="s">
        <v>52</v>
      </c>
      <c r="B42" s="57">
        <v>8640</v>
      </c>
      <c r="C42" s="53">
        <v>8280</v>
      </c>
      <c r="D42" s="53">
        <v>8040</v>
      </c>
      <c r="E42" s="53">
        <v>47189</v>
      </c>
      <c r="F42" s="34"/>
      <c r="G42" s="47" t="s">
        <v>126</v>
      </c>
      <c r="H42" s="54"/>
      <c r="I42" s="55"/>
      <c r="J42" s="58"/>
      <c r="K42" s="58"/>
    </row>
    <row r="43" spans="1:11" x14ac:dyDescent="0.25">
      <c r="A43" s="56" t="s">
        <v>53</v>
      </c>
      <c r="B43" s="57">
        <v>8640</v>
      </c>
      <c r="C43" s="53">
        <v>8280</v>
      </c>
      <c r="D43" s="53">
        <v>8040</v>
      </c>
      <c r="E43" s="53">
        <v>7800</v>
      </c>
      <c r="F43" s="34"/>
      <c r="G43" s="47" t="s">
        <v>127</v>
      </c>
      <c r="H43" s="54">
        <v>195222</v>
      </c>
      <c r="I43" s="55">
        <v>189859</v>
      </c>
      <c r="J43" s="49">
        <v>177337</v>
      </c>
      <c r="K43" s="49">
        <v>165007</v>
      </c>
    </row>
    <row r="44" spans="1:11" x14ac:dyDescent="0.25">
      <c r="A44" s="47" t="s">
        <v>54</v>
      </c>
      <c r="B44" s="48"/>
      <c r="C44" s="49"/>
      <c r="D44" s="49"/>
      <c r="E44" s="49"/>
      <c r="F44" s="26"/>
      <c r="G44" s="56" t="s">
        <v>128</v>
      </c>
      <c r="H44" s="51"/>
      <c r="I44" s="52"/>
      <c r="J44" s="53"/>
      <c r="K44" s="53"/>
    </row>
    <row r="45" spans="1:11" x14ac:dyDescent="0.25">
      <c r="A45" s="47" t="s">
        <v>55</v>
      </c>
      <c r="B45" s="48"/>
      <c r="C45" s="49"/>
      <c r="D45" s="49"/>
      <c r="E45" s="49"/>
      <c r="F45" s="26"/>
      <c r="G45" s="56" t="s">
        <v>129</v>
      </c>
      <c r="H45" s="51">
        <v>2561477</v>
      </c>
      <c r="I45" s="52">
        <v>2345310</v>
      </c>
      <c r="J45" s="53">
        <v>3153666</v>
      </c>
      <c r="K45" s="53">
        <v>2793605</v>
      </c>
    </row>
    <row r="46" spans="1:11" x14ac:dyDescent="0.25">
      <c r="A46" s="47" t="s">
        <v>56</v>
      </c>
      <c r="B46" s="48">
        <v>8640</v>
      </c>
      <c r="C46" s="49">
        <v>8280</v>
      </c>
      <c r="D46" s="49">
        <v>8040</v>
      </c>
      <c r="E46" s="49">
        <v>7800</v>
      </c>
      <c r="F46" s="26"/>
      <c r="G46" s="56" t="s">
        <v>130</v>
      </c>
      <c r="H46" s="51">
        <v>1969664</v>
      </c>
      <c r="I46" s="52">
        <v>1713095</v>
      </c>
      <c r="J46" s="53">
        <v>2050320</v>
      </c>
      <c r="K46" s="53">
        <v>1908210</v>
      </c>
    </row>
    <row r="47" spans="1:11" x14ac:dyDescent="0.25">
      <c r="A47" s="47" t="s">
        <v>57</v>
      </c>
      <c r="B47" s="48"/>
      <c r="C47" s="49"/>
      <c r="D47" s="49"/>
      <c r="E47" s="49"/>
      <c r="F47" s="26"/>
      <c r="G47" s="47" t="s">
        <v>112</v>
      </c>
      <c r="H47" s="54">
        <v>592627</v>
      </c>
      <c r="I47" s="55">
        <v>773122</v>
      </c>
      <c r="J47" s="49">
        <v>826912</v>
      </c>
      <c r="K47" s="49">
        <v>873193</v>
      </c>
    </row>
    <row r="48" spans="1:11" x14ac:dyDescent="0.25">
      <c r="A48" s="47" t="s">
        <v>58</v>
      </c>
      <c r="B48" s="48"/>
      <c r="C48" s="49"/>
      <c r="D48" s="49"/>
      <c r="E48" s="49"/>
      <c r="F48" s="26"/>
      <c r="G48" s="47" t="s">
        <v>131</v>
      </c>
      <c r="H48" s="54"/>
      <c r="I48" s="55"/>
      <c r="J48" s="49"/>
      <c r="K48" s="49"/>
    </row>
    <row r="49" spans="1:11" x14ac:dyDescent="0.25">
      <c r="A49" s="47" t="s">
        <v>59</v>
      </c>
      <c r="B49" s="48"/>
      <c r="C49" s="49"/>
      <c r="D49" s="49"/>
      <c r="E49" s="49"/>
      <c r="F49" s="26"/>
      <c r="G49" s="47" t="s">
        <v>114</v>
      </c>
      <c r="H49" s="54">
        <v>1377037</v>
      </c>
      <c r="I49" s="55">
        <v>939973</v>
      </c>
      <c r="J49" s="49">
        <v>1223408</v>
      </c>
      <c r="K49" s="49">
        <v>1035017</v>
      </c>
    </row>
    <row r="50" spans="1:11" x14ac:dyDescent="0.25">
      <c r="A50" s="47" t="s">
        <v>60</v>
      </c>
      <c r="B50" s="48"/>
      <c r="C50" s="49"/>
      <c r="D50" s="49"/>
      <c r="E50" s="49"/>
      <c r="F50" s="26"/>
      <c r="G50" s="47" t="s">
        <v>57</v>
      </c>
      <c r="H50" s="54"/>
      <c r="I50" s="55"/>
      <c r="J50" s="49"/>
      <c r="K50" s="49"/>
    </row>
    <row r="51" spans="1:11" x14ac:dyDescent="0.25">
      <c r="A51" s="47" t="s">
        <v>61</v>
      </c>
      <c r="B51" s="48"/>
      <c r="C51" s="49"/>
      <c r="D51" s="49"/>
      <c r="E51" s="49"/>
      <c r="F51" s="26"/>
      <c r="G51" s="47" t="s">
        <v>132</v>
      </c>
      <c r="H51" s="54"/>
      <c r="I51" s="55"/>
      <c r="J51" s="49"/>
      <c r="K51" s="49"/>
    </row>
    <row r="52" spans="1:11" x14ac:dyDescent="0.25">
      <c r="A52" s="47" t="s">
        <v>62</v>
      </c>
      <c r="B52" s="48"/>
      <c r="C52" s="49"/>
      <c r="D52" s="49"/>
      <c r="E52" s="49"/>
      <c r="F52" s="26"/>
      <c r="G52" s="47" t="s">
        <v>116</v>
      </c>
      <c r="H52" s="54"/>
      <c r="I52" s="55"/>
      <c r="J52" s="49"/>
      <c r="K52" s="49"/>
    </row>
    <row r="53" spans="1:11" x14ac:dyDescent="0.25">
      <c r="A53" s="47" t="s">
        <v>63</v>
      </c>
      <c r="B53" s="48"/>
      <c r="C53" s="49"/>
      <c r="D53" s="49"/>
      <c r="E53" s="49">
        <v>39389</v>
      </c>
      <c r="F53" s="26"/>
      <c r="G53" s="47" t="s">
        <v>133</v>
      </c>
      <c r="H53" s="54"/>
      <c r="I53" s="55"/>
      <c r="J53" s="49"/>
      <c r="K53" s="49"/>
    </row>
    <row r="54" spans="1:11" x14ac:dyDescent="0.25">
      <c r="A54" s="56" t="s">
        <v>64</v>
      </c>
      <c r="B54" s="57">
        <v>4193062</v>
      </c>
      <c r="C54" s="53">
        <v>3400080</v>
      </c>
      <c r="D54" s="53">
        <v>5418784</v>
      </c>
      <c r="E54" s="53">
        <v>5166130</v>
      </c>
      <c r="F54" s="34"/>
      <c r="G54" s="47" t="s">
        <v>134</v>
      </c>
      <c r="H54" s="54">
        <v>152726</v>
      </c>
      <c r="I54" s="55">
        <v>196472</v>
      </c>
      <c r="J54" s="58">
        <v>176496</v>
      </c>
      <c r="K54" s="58">
        <v>225420</v>
      </c>
    </row>
    <row r="55" spans="1:11" x14ac:dyDescent="0.25">
      <c r="A55" s="56" t="s">
        <v>65</v>
      </c>
      <c r="B55" s="57">
        <v>4163053</v>
      </c>
      <c r="C55" s="53">
        <v>2038309</v>
      </c>
      <c r="D55" s="53">
        <v>2169539</v>
      </c>
      <c r="E55" s="53">
        <v>2389493</v>
      </c>
      <c r="F55" s="34"/>
      <c r="G55" s="47" t="s">
        <v>135</v>
      </c>
      <c r="H55" s="54">
        <v>100899</v>
      </c>
      <c r="I55" s="55">
        <v>126845</v>
      </c>
      <c r="J55" s="58">
        <v>113038</v>
      </c>
      <c r="K55" s="58">
        <v>135859</v>
      </c>
    </row>
    <row r="56" spans="1:11" x14ac:dyDescent="0.25">
      <c r="A56" s="47" t="s">
        <v>66</v>
      </c>
      <c r="B56" s="48">
        <v>289681</v>
      </c>
      <c r="C56" s="49">
        <v>362455</v>
      </c>
      <c r="D56" s="49">
        <v>494250</v>
      </c>
      <c r="E56" s="49">
        <v>431289</v>
      </c>
      <c r="F56" s="26"/>
      <c r="G56" s="47" t="s">
        <v>136</v>
      </c>
      <c r="H56" s="54">
        <v>293820</v>
      </c>
      <c r="I56" s="55">
        <v>307586</v>
      </c>
      <c r="J56" s="49">
        <v>809071</v>
      </c>
      <c r="K56" s="49">
        <v>522969</v>
      </c>
    </row>
    <row r="57" spans="1:11" x14ac:dyDescent="0.25">
      <c r="A57" s="47" t="s">
        <v>55</v>
      </c>
      <c r="B57" s="48"/>
      <c r="C57" s="49"/>
      <c r="D57" s="49"/>
      <c r="E57" s="49"/>
      <c r="F57" s="26"/>
      <c r="G57" s="47" t="s">
        <v>137</v>
      </c>
      <c r="H57" s="54">
        <v>43798</v>
      </c>
      <c r="I57" s="55"/>
      <c r="J57" s="49"/>
      <c r="K57" s="49"/>
    </row>
    <row r="58" spans="1:11" x14ac:dyDescent="0.25">
      <c r="A58" s="47" t="s">
        <v>56</v>
      </c>
      <c r="B58" s="48">
        <v>3873372</v>
      </c>
      <c r="C58" s="49">
        <v>1675854</v>
      </c>
      <c r="D58" s="49">
        <v>1675289</v>
      </c>
      <c r="E58" s="49">
        <v>1958204</v>
      </c>
      <c r="F58" s="26"/>
      <c r="G58" s="47" t="s">
        <v>138</v>
      </c>
      <c r="H58" s="54">
        <v>570</v>
      </c>
      <c r="I58" s="55">
        <v>1312</v>
      </c>
      <c r="J58" s="49">
        <v>4741</v>
      </c>
      <c r="K58" s="49">
        <v>1147</v>
      </c>
    </row>
    <row r="59" spans="1:11" x14ac:dyDescent="0.25">
      <c r="A59" s="47" t="s">
        <v>67</v>
      </c>
      <c r="B59" s="48"/>
      <c r="C59" s="49"/>
      <c r="D59" s="49"/>
      <c r="E59" s="49"/>
      <c r="F59" s="26"/>
      <c r="G59" s="56" t="s">
        <v>139</v>
      </c>
      <c r="H59" s="51">
        <v>623814</v>
      </c>
      <c r="I59" s="52">
        <v>467721</v>
      </c>
      <c r="J59" s="53">
        <v>703378</v>
      </c>
      <c r="K59" s="53">
        <v>508164</v>
      </c>
    </row>
    <row r="60" spans="1:11" x14ac:dyDescent="0.25">
      <c r="A60" s="47" t="s">
        <v>58</v>
      </c>
      <c r="B60" s="48"/>
      <c r="C60" s="49">
        <v>1300000</v>
      </c>
      <c r="D60" s="49">
        <v>3200000</v>
      </c>
      <c r="E60" s="49">
        <v>2700000</v>
      </c>
      <c r="F60" s="26"/>
      <c r="G60" s="47" t="s">
        <v>140</v>
      </c>
      <c r="H60" s="54">
        <v>14119</v>
      </c>
      <c r="I60" s="55">
        <v>18265</v>
      </c>
      <c r="J60" s="49">
        <v>24741</v>
      </c>
      <c r="K60" s="49">
        <v>22602</v>
      </c>
    </row>
    <row r="61" spans="1:11" x14ac:dyDescent="0.25">
      <c r="A61" s="47" t="s">
        <v>68</v>
      </c>
      <c r="B61" s="48"/>
      <c r="C61" s="49"/>
      <c r="D61" s="49"/>
      <c r="E61" s="49"/>
      <c r="F61" s="26"/>
      <c r="G61" s="47" t="s">
        <v>141</v>
      </c>
      <c r="H61" s="54">
        <v>609695</v>
      </c>
      <c r="I61" s="55">
        <v>449456</v>
      </c>
      <c r="J61" s="49">
        <v>678637</v>
      </c>
      <c r="K61" s="49">
        <v>485562</v>
      </c>
    </row>
    <row r="62" spans="1:11" x14ac:dyDescent="0.25">
      <c r="A62" s="47" t="s">
        <v>60</v>
      </c>
      <c r="B62" s="48"/>
      <c r="C62" s="49"/>
      <c r="D62" s="49"/>
      <c r="E62" s="49"/>
      <c r="F62" s="26"/>
      <c r="G62" s="56" t="s">
        <v>142</v>
      </c>
      <c r="H62" s="51"/>
      <c r="I62" s="52"/>
      <c r="J62" s="53"/>
      <c r="K62" s="53"/>
    </row>
    <row r="63" spans="1:11" x14ac:dyDescent="0.25">
      <c r="A63" s="47" t="s">
        <v>69</v>
      </c>
      <c r="B63" s="48"/>
      <c r="C63" s="49"/>
      <c r="D63" s="49"/>
      <c r="E63" s="49"/>
      <c r="F63" s="26"/>
      <c r="G63" s="56" t="s">
        <v>143</v>
      </c>
      <c r="H63" s="51"/>
      <c r="I63" s="52"/>
      <c r="J63" s="53"/>
      <c r="K63" s="53"/>
    </row>
    <row r="64" spans="1:11" x14ac:dyDescent="0.25">
      <c r="A64" s="47" t="s">
        <v>70</v>
      </c>
      <c r="B64" s="48">
        <v>27623</v>
      </c>
      <c r="C64" s="49">
        <v>59363</v>
      </c>
      <c r="D64" s="49">
        <v>0</v>
      </c>
      <c r="E64" s="49"/>
      <c r="F64" s="26"/>
      <c r="G64" s="56" t="s">
        <v>81</v>
      </c>
      <c r="H64" s="51"/>
      <c r="I64" s="52"/>
      <c r="J64" s="53"/>
      <c r="K64" s="53"/>
    </row>
    <row r="65" spans="1:11" x14ac:dyDescent="0.25">
      <c r="A65" s="47" t="s">
        <v>71</v>
      </c>
      <c r="B65" s="48"/>
      <c r="C65" s="49"/>
      <c r="D65" s="49">
        <v>47175</v>
      </c>
      <c r="E65" s="49">
        <v>65931</v>
      </c>
      <c r="F65" s="26"/>
      <c r="G65" s="47" t="s">
        <v>144</v>
      </c>
      <c r="H65" s="54"/>
      <c r="I65" s="55"/>
      <c r="J65" s="49"/>
      <c r="K65" s="49"/>
    </row>
    <row r="66" spans="1:11" x14ac:dyDescent="0.25">
      <c r="A66" s="47" t="s">
        <v>72</v>
      </c>
      <c r="B66" s="48">
        <v>2386</v>
      </c>
      <c r="C66" s="49">
        <v>2408</v>
      </c>
      <c r="D66" s="49">
        <v>2070</v>
      </c>
      <c r="E66" s="49">
        <v>10706</v>
      </c>
      <c r="F66" s="26"/>
      <c r="G66" s="47" t="s">
        <v>145</v>
      </c>
      <c r="H66" s="54"/>
      <c r="I66" s="55"/>
      <c r="J66" s="49"/>
      <c r="K66" s="49"/>
    </row>
    <row r="67" spans="1:11" x14ac:dyDescent="0.25">
      <c r="A67" s="56" t="s">
        <v>73</v>
      </c>
      <c r="B67" s="57"/>
      <c r="C67" s="53"/>
      <c r="D67" s="53"/>
      <c r="E67" s="53"/>
      <c r="F67" s="34"/>
      <c r="G67" s="47" t="s">
        <v>146</v>
      </c>
      <c r="H67" s="54"/>
      <c r="I67" s="55"/>
      <c r="J67" s="58"/>
      <c r="K67" s="58"/>
    </row>
    <row r="68" spans="1:11" ht="15.75" thickBot="1" x14ac:dyDescent="0.3">
      <c r="A68" s="47" t="s">
        <v>74</v>
      </c>
      <c r="B68" s="48"/>
      <c r="C68" s="49"/>
      <c r="D68" s="49"/>
      <c r="E68" s="49"/>
      <c r="F68" s="26"/>
      <c r="G68" s="69" t="s">
        <v>147</v>
      </c>
      <c r="H68" s="70"/>
      <c r="I68" s="71"/>
      <c r="J68" s="72"/>
      <c r="K68" s="72"/>
    </row>
    <row r="69" spans="1:11" x14ac:dyDescent="0.25">
      <c r="A69" s="47" t="s">
        <v>75</v>
      </c>
      <c r="B69" s="48"/>
      <c r="C69" s="49"/>
      <c r="D69" s="49"/>
      <c r="E69" s="49"/>
      <c r="F69" s="26"/>
      <c r="G69" s="26"/>
      <c r="H69" s="26"/>
      <c r="I69" s="26"/>
      <c r="J69" s="26"/>
      <c r="K69" s="26"/>
    </row>
    <row r="70" spans="1:11" x14ac:dyDescent="0.25">
      <c r="A70" s="47" t="s">
        <v>76</v>
      </c>
      <c r="B70" s="48"/>
      <c r="C70" s="49"/>
      <c r="D70" s="49"/>
      <c r="E70" s="49"/>
      <c r="F70" s="26"/>
      <c r="G70" s="26"/>
      <c r="H70" s="26"/>
      <c r="I70" s="26"/>
      <c r="J70" s="26"/>
      <c r="K70" s="26"/>
    </row>
    <row r="71" spans="1:11" x14ac:dyDescent="0.25">
      <c r="A71" s="47" t="s">
        <v>77</v>
      </c>
      <c r="B71" s="48"/>
      <c r="C71" s="49"/>
      <c r="D71" s="49"/>
      <c r="E71" s="49"/>
      <c r="F71" s="26"/>
      <c r="G71" s="26"/>
      <c r="H71" s="26"/>
      <c r="I71" s="26"/>
      <c r="J71" s="26"/>
      <c r="K71" s="26"/>
    </row>
    <row r="72" spans="1:11" x14ac:dyDescent="0.25">
      <c r="A72" s="56" t="s">
        <v>78</v>
      </c>
      <c r="B72" s="57">
        <v>915488</v>
      </c>
      <c r="C72" s="53">
        <v>1546443</v>
      </c>
      <c r="D72" s="53">
        <v>1864118</v>
      </c>
      <c r="E72" s="53">
        <v>1800953</v>
      </c>
      <c r="F72" s="34"/>
      <c r="G72" s="26"/>
      <c r="H72" s="26"/>
      <c r="I72" s="26"/>
      <c r="J72" s="26"/>
      <c r="K72" s="26"/>
    </row>
    <row r="73" spans="1:11" x14ac:dyDescent="0.25">
      <c r="A73" s="47" t="s">
        <v>79</v>
      </c>
      <c r="B73" s="48">
        <v>8295</v>
      </c>
      <c r="C73" s="49">
        <v>18553</v>
      </c>
      <c r="D73" s="49">
        <v>4047</v>
      </c>
      <c r="E73" s="49">
        <v>1388</v>
      </c>
      <c r="F73" s="26"/>
      <c r="G73" s="26"/>
      <c r="H73" s="26"/>
      <c r="I73" s="26"/>
      <c r="J73" s="26"/>
      <c r="K73" s="26"/>
    </row>
    <row r="74" spans="1:11" x14ac:dyDescent="0.25">
      <c r="A74" s="47" t="s">
        <v>80</v>
      </c>
      <c r="B74" s="48">
        <v>907193</v>
      </c>
      <c r="C74" s="49">
        <v>1527890</v>
      </c>
      <c r="D74" s="49">
        <v>1860071</v>
      </c>
      <c r="E74" s="49">
        <v>1799565</v>
      </c>
      <c r="F74" s="26"/>
      <c r="G74" s="26"/>
      <c r="H74" s="26"/>
      <c r="I74" s="26"/>
      <c r="J74" s="26"/>
      <c r="K74" s="26"/>
    </row>
    <row r="75" spans="1:11" x14ac:dyDescent="0.25">
      <c r="A75" s="56" t="s">
        <v>81</v>
      </c>
      <c r="B75" s="57">
        <v>11935</v>
      </c>
      <c r="C75" s="53">
        <v>12614</v>
      </c>
      <c r="D75" s="53">
        <v>14572</v>
      </c>
      <c r="E75" s="53">
        <v>34066</v>
      </c>
      <c r="F75" s="34"/>
      <c r="G75" s="26"/>
      <c r="H75" s="26"/>
      <c r="I75" s="26"/>
      <c r="J75" s="26"/>
      <c r="K75" s="26"/>
    </row>
    <row r="76" spans="1:11" x14ac:dyDescent="0.25">
      <c r="A76" s="47" t="s">
        <v>82</v>
      </c>
      <c r="B76" s="48">
        <v>207</v>
      </c>
      <c r="C76" s="49">
        <v>440</v>
      </c>
      <c r="D76" s="49">
        <v>100</v>
      </c>
      <c r="E76" s="49">
        <v>673</v>
      </c>
      <c r="F76" s="26"/>
      <c r="G76" s="26"/>
      <c r="H76" s="26"/>
      <c r="I76" s="26"/>
      <c r="J76" s="26"/>
      <c r="K76" s="26"/>
    </row>
    <row r="77" spans="1:11" x14ac:dyDescent="0.25">
      <c r="A77" s="47" t="s">
        <v>83</v>
      </c>
      <c r="B77" s="48">
        <v>8506</v>
      </c>
      <c r="C77" s="49">
        <v>12058</v>
      </c>
      <c r="D77" s="49">
        <v>14471</v>
      </c>
      <c r="E77" s="49">
        <v>32105</v>
      </c>
      <c r="F77" s="26"/>
      <c r="G77" s="26"/>
      <c r="H77" s="26"/>
      <c r="I77" s="26"/>
      <c r="J77" s="26"/>
      <c r="K77" s="26"/>
    </row>
    <row r="78" spans="1:11" x14ac:dyDescent="0.25">
      <c r="A78" s="47" t="s">
        <v>84</v>
      </c>
      <c r="B78" s="48"/>
      <c r="C78" s="49"/>
      <c r="D78" s="49"/>
      <c r="E78" s="49"/>
      <c r="F78" s="26"/>
      <c r="G78" s="26"/>
      <c r="H78" s="26"/>
      <c r="I78" s="26"/>
      <c r="J78" s="26"/>
      <c r="K78" s="26"/>
    </row>
    <row r="79" spans="1:11" ht="15.75" thickBot="1" x14ac:dyDescent="0.3">
      <c r="A79" s="69" t="s">
        <v>85</v>
      </c>
      <c r="B79" s="73">
        <v>3222</v>
      </c>
      <c r="C79" s="72">
        <v>116</v>
      </c>
      <c r="D79" s="72">
        <v>0</v>
      </c>
      <c r="E79" s="72">
        <v>1288</v>
      </c>
      <c r="F79" s="26"/>
      <c r="G79" s="26"/>
      <c r="H79" s="26"/>
      <c r="I79" s="26"/>
      <c r="J79" s="26"/>
      <c r="K79" s="26"/>
    </row>
    <row r="80" spans="1:11" x14ac:dyDescent="0.25">
      <c r="A80" s="74"/>
      <c r="B80" s="74"/>
      <c r="C80" s="74"/>
      <c r="D80" s="74"/>
      <c r="E80" s="74"/>
      <c r="F80" s="26"/>
      <c r="G80" s="26"/>
      <c r="H80" s="26"/>
      <c r="I80" s="26"/>
      <c r="J80" s="26"/>
      <c r="K80" s="2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F24F-2E01-496E-A098-E9907344EC7D}">
  <sheetPr>
    <tabColor theme="9" tint="-0.499984740745262"/>
  </sheetPr>
  <dimension ref="A1:E62"/>
  <sheetViews>
    <sheetView zoomScaleNormal="100" workbookViewId="0">
      <selection activeCell="I6" sqref="I6"/>
    </sheetView>
  </sheetViews>
  <sheetFormatPr defaultRowHeight="11.25" x14ac:dyDescent="0.2"/>
  <cols>
    <col min="1" max="1" width="94.5703125" style="22" bestFit="1" customWidth="1"/>
    <col min="2" max="5" width="10.140625" style="22" bestFit="1" customWidth="1"/>
    <col min="6" max="16384" width="9.140625" style="22"/>
  </cols>
  <sheetData>
    <row r="1" spans="1:5" x14ac:dyDescent="0.2">
      <c r="A1" s="75" t="s">
        <v>148</v>
      </c>
      <c r="B1" s="75">
        <v>2018</v>
      </c>
      <c r="C1" s="75">
        <v>2019</v>
      </c>
      <c r="D1" s="76">
        <v>2020</v>
      </c>
      <c r="E1" s="76">
        <v>2021</v>
      </c>
    </row>
    <row r="2" spans="1:5" x14ac:dyDescent="0.2">
      <c r="A2" s="77" t="s">
        <v>149</v>
      </c>
      <c r="B2" s="78">
        <v>23298230</v>
      </c>
      <c r="C2" s="78">
        <v>25204145</v>
      </c>
      <c r="D2" s="78">
        <v>28789811</v>
      </c>
      <c r="E2" s="78">
        <v>28886746</v>
      </c>
    </row>
    <row r="3" spans="1:5" x14ac:dyDescent="0.2">
      <c r="A3" s="79" t="s">
        <v>150</v>
      </c>
      <c r="B3" s="80">
        <v>23448049</v>
      </c>
      <c r="C3" s="80">
        <v>25369352</v>
      </c>
      <c r="D3" s="80">
        <v>28919418</v>
      </c>
      <c r="E3" s="80">
        <v>29189399</v>
      </c>
    </row>
    <row r="4" spans="1:5" x14ac:dyDescent="0.2">
      <c r="A4" s="81" t="s">
        <v>151</v>
      </c>
      <c r="B4" s="82">
        <v>13650136</v>
      </c>
      <c r="C4" s="82">
        <v>14435624</v>
      </c>
      <c r="D4" s="83">
        <v>16008927</v>
      </c>
      <c r="E4" s="83">
        <v>16797907</v>
      </c>
    </row>
    <row r="5" spans="1:5" x14ac:dyDescent="0.2">
      <c r="A5" s="81" t="s">
        <v>152</v>
      </c>
      <c r="B5" s="82">
        <v>9624818</v>
      </c>
      <c r="C5" s="82">
        <v>10744270</v>
      </c>
      <c r="D5" s="83">
        <v>12764037</v>
      </c>
      <c r="E5" s="83">
        <v>12069850</v>
      </c>
    </row>
    <row r="6" spans="1:5" x14ac:dyDescent="0.2">
      <c r="A6" s="81" t="s">
        <v>153</v>
      </c>
      <c r="B6" s="82">
        <v>23276</v>
      </c>
      <c r="C6" s="82">
        <v>24251</v>
      </c>
      <c r="D6" s="83">
        <v>16847</v>
      </c>
      <c r="E6" s="83">
        <v>18989</v>
      </c>
    </row>
    <row r="7" spans="1:5" x14ac:dyDescent="0.2">
      <c r="A7" s="81" t="s">
        <v>154</v>
      </c>
      <c r="B7" s="82">
        <v>36642</v>
      </c>
      <c r="C7" s="82">
        <v>25152</v>
      </c>
      <c r="D7" s="83">
        <v>-80886</v>
      </c>
      <c r="E7" s="83">
        <v>87455</v>
      </c>
    </row>
    <row r="8" spans="1:5" x14ac:dyDescent="0.2">
      <c r="A8" s="81" t="s">
        <v>155</v>
      </c>
      <c r="B8" s="82"/>
      <c r="C8" s="82"/>
      <c r="D8" s="83"/>
      <c r="E8" s="83"/>
    </row>
    <row r="9" spans="1:5" x14ac:dyDescent="0.2">
      <c r="A9" s="79" t="s">
        <v>156</v>
      </c>
      <c r="B9" s="80">
        <v>101965</v>
      </c>
      <c r="C9" s="80">
        <v>127921</v>
      </c>
      <c r="D9" s="80">
        <v>133922</v>
      </c>
      <c r="E9" s="80">
        <v>181742</v>
      </c>
    </row>
    <row r="10" spans="1:5" x14ac:dyDescent="0.2">
      <c r="A10" s="84" t="s">
        <v>157</v>
      </c>
      <c r="B10" s="85">
        <v>11212</v>
      </c>
      <c r="C10" s="85">
        <v>12134</v>
      </c>
      <c r="D10" s="86">
        <v>76571</v>
      </c>
      <c r="E10" s="86">
        <v>33456</v>
      </c>
    </row>
    <row r="11" spans="1:5" x14ac:dyDescent="0.2">
      <c r="A11" s="79" t="s">
        <v>158</v>
      </c>
      <c r="B11" s="80">
        <v>19996919</v>
      </c>
      <c r="C11" s="80">
        <v>21940406</v>
      </c>
      <c r="D11" s="80">
        <v>24214153</v>
      </c>
      <c r="E11" s="80">
        <v>23742620</v>
      </c>
    </row>
    <row r="12" spans="1:5" x14ac:dyDescent="0.2">
      <c r="A12" s="84" t="s">
        <v>159</v>
      </c>
      <c r="B12" s="85">
        <v>8136209</v>
      </c>
      <c r="C12" s="85">
        <v>8799494</v>
      </c>
      <c r="D12" s="86">
        <v>9702296</v>
      </c>
      <c r="E12" s="86">
        <v>10406146</v>
      </c>
    </row>
    <row r="13" spans="1:5" x14ac:dyDescent="0.2">
      <c r="A13" s="84" t="s">
        <v>160</v>
      </c>
      <c r="B13" s="85">
        <v>4233260</v>
      </c>
      <c r="C13" s="85">
        <v>5142863</v>
      </c>
      <c r="D13" s="86">
        <v>5740209</v>
      </c>
      <c r="E13" s="86">
        <v>5623323</v>
      </c>
    </row>
    <row r="14" spans="1:5" x14ac:dyDescent="0.2">
      <c r="A14" s="84" t="s">
        <v>161</v>
      </c>
      <c r="B14" s="85">
        <v>33439</v>
      </c>
      <c r="C14" s="85">
        <v>9803</v>
      </c>
      <c r="D14" s="86">
        <v>32340</v>
      </c>
      <c r="E14" s="86">
        <v>57232</v>
      </c>
    </row>
    <row r="15" spans="1:5" x14ac:dyDescent="0.2">
      <c r="A15" s="84" t="s">
        <v>162</v>
      </c>
      <c r="B15" s="85">
        <v>4570411</v>
      </c>
      <c r="C15" s="85">
        <v>4375195</v>
      </c>
      <c r="D15" s="86">
        <v>4702691</v>
      </c>
      <c r="E15" s="86">
        <v>4018340</v>
      </c>
    </row>
    <row r="16" spans="1:5" x14ac:dyDescent="0.2">
      <c r="A16" s="84" t="s">
        <v>163</v>
      </c>
      <c r="B16" s="85">
        <v>2596659</v>
      </c>
      <c r="C16" s="85">
        <v>3083082</v>
      </c>
      <c r="D16" s="86">
        <v>3567005</v>
      </c>
      <c r="E16" s="86">
        <v>3147940</v>
      </c>
    </row>
    <row r="17" spans="1:5" x14ac:dyDescent="0.2">
      <c r="A17" s="84" t="s">
        <v>164</v>
      </c>
      <c r="B17" s="85">
        <v>1832663</v>
      </c>
      <c r="C17" s="85">
        <v>2208864</v>
      </c>
      <c r="D17" s="86">
        <v>2547390</v>
      </c>
      <c r="E17" s="86">
        <v>2232097</v>
      </c>
    </row>
    <row r="18" spans="1:5" x14ac:dyDescent="0.2">
      <c r="A18" s="84" t="s">
        <v>165</v>
      </c>
      <c r="B18" s="85"/>
      <c r="C18" s="85"/>
      <c r="D18" s="86"/>
      <c r="E18" s="86"/>
    </row>
    <row r="19" spans="1:5" x14ac:dyDescent="0.2">
      <c r="A19" s="84" t="s">
        <v>166</v>
      </c>
      <c r="B19" s="85">
        <v>663563</v>
      </c>
      <c r="C19" s="85">
        <v>769077</v>
      </c>
      <c r="D19" s="86">
        <v>891707</v>
      </c>
      <c r="E19" s="86">
        <v>783991</v>
      </c>
    </row>
    <row r="20" spans="1:5" x14ac:dyDescent="0.2">
      <c r="A20" s="84" t="s">
        <v>167</v>
      </c>
      <c r="B20" s="85">
        <v>100433</v>
      </c>
      <c r="C20" s="85">
        <v>105141</v>
      </c>
      <c r="D20" s="86">
        <v>127908</v>
      </c>
      <c r="E20" s="86">
        <v>131852</v>
      </c>
    </row>
    <row r="21" spans="1:5" x14ac:dyDescent="0.2">
      <c r="A21" s="84" t="s">
        <v>168</v>
      </c>
      <c r="B21" s="85">
        <v>4034</v>
      </c>
      <c r="C21" s="85">
        <v>3369</v>
      </c>
      <c r="D21" s="86">
        <v>4502</v>
      </c>
      <c r="E21" s="86">
        <v>4394</v>
      </c>
    </row>
    <row r="22" spans="1:5" x14ac:dyDescent="0.2">
      <c r="A22" s="84" t="s">
        <v>169</v>
      </c>
      <c r="B22" s="85">
        <v>239616</v>
      </c>
      <c r="C22" s="85">
        <v>233398</v>
      </c>
      <c r="D22" s="86">
        <v>228152</v>
      </c>
      <c r="E22" s="86">
        <v>245636</v>
      </c>
    </row>
    <row r="23" spans="1:5" x14ac:dyDescent="0.2">
      <c r="A23" s="84" t="s">
        <v>170</v>
      </c>
      <c r="B23" s="85">
        <v>239616</v>
      </c>
      <c r="C23" s="85">
        <v>233398</v>
      </c>
      <c r="D23" s="86">
        <v>228152</v>
      </c>
      <c r="E23" s="86">
        <v>245636</v>
      </c>
    </row>
    <row r="24" spans="1:5" x14ac:dyDescent="0.2">
      <c r="A24" s="84" t="s">
        <v>171</v>
      </c>
      <c r="B24" s="85"/>
      <c r="C24" s="85"/>
      <c r="D24" s="86"/>
      <c r="E24" s="86"/>
    </row>
    <row r="25" spans="1:5" x14ac:dyDescent="0.2">
      <c r="A25" s="84" t="s">
        <v>172</v>
      </c>
      <c r="B25" s="85">
        <v>98937</v>
      </c>
      <c r="C25" s="85">
        <v>122868</v>
      </c>
      <c r="D25" s="86">
        <v>123813</v>
      </c>
      <c r="E25" s="86">
        <v>147144</v>
      </c>
    </row>
    <row r="26" spans="1:5" x14ac:dyDescent="0.2">
      <c r="A26" s="84" t="s">
        <v>173</v>
      </c>
      <c r="B26" s="85"/>
      <c r="C26" s="85">
        <v>60842</v>
      </c>
      <c r="D26" s="86"/>
      <c r="E26" s="86"/>
    </row>
    <row r="27" spans="1:5" x14ac:dyDescent="0.2">
      <c r="A27" s="84" t="s">
        <v>174</v>
      </c>
      <c r="B27" s="85">
        <v>84354</v>
      </c>
      <c r="C27" s="85">
        <v>109492</v>
      </c>
      <c r="D27" s="86">
        <v>113145</v>
      </c>
      <c r="E27" s="86">
        <v>92465</v>
      </c>
    </row>
    <row r="28" spans="1:5" x14ac:dyDescent="0.2">
      <c r="A28" s="79" t="s">
        <v>175</v>
      </c>
      <c r="B28" s="80">
        <v>3451130</v>
      </c>
      <c r="C28" s="80">
        <v>3428946</v>
      </c>
      <c r="D28" s="80">
        <v>4705265</v>
      </c>
      <c r="E28" s="80">
        <v>5466779</v>
      </c>
    </row>
    <row r="29" spans="1:5" x14ac:dyDescent="0.2">
      <c r="A29" s="79" t="s">
        <v>176</v>
      </c>
      <c r="B29" s="80">
        <v>6361553</v>
      </c>
      <c r="C29" s="80">
        <v>6901942</v>
      </c>
      <c r="D29" s="80">
        <v>8531389</v>
      </c>
      <c r="E29" s="80">
        <v>8869160</v>
      </c>
    </row>
    <row r="30" spans="1:5" x14ac:dyDescent="0.2">
      <c r="A30" s="79" t="s">
        <v>177</v>
      </c>
      <c r="B30" s="80">
        <v>85004</v>
      </c>
      <c r="C30" s="80">
        <v>21695</v>
      </c>
      <c r="D30" s="80">
        <v>181098</v>
      </c>
      <c r="E30" s="80">
        <v>144115</v>
      </c>
    </row>
    <row r="31" spans="1:5" x14ac:dyDescent="0.2">
      <c r="A31" s="84" t="s">
        <v>178</v>
      </c>
      <c r="B31" s="85"/>
      <c r="C31" s="85"/>
      <c r="D31" s="86"/>
      <c r="E31" s="86"/>
    </row>
    <row r="32" spans="1:5" x14ac:dyDescent="0.2">
      <c r="A32" s="84" t="s">
        <v>179</v>
      </c>
      <c r="B32" s="85"/>
      <c r="C32" s="85"/>
      <c r="D32" s="86"/>
      <c r="E32" s="86"/>
    </row>
    <row r="33" spans="1:5" x14ac:dyDescent="0.2">
      <c r="A33" s="84" t="s">
        <v>180</v>
      </c>
      <c r="B33" s="85"/>
      <c r="C33" s="85"/>
      <c r="D33" s="86"/>
      <c r="E33" s="86"/>
    </row>
    <row r="34" spans="1:5" x14ac:dyDescent="0.2">
      <c r="A34" s="84" t="s">
        <v>181</v>
      </c>
      <c r="B34" s="85"/>
      <c r="C34" s="85"/>
      <c r="D34" s="86"/>
      <c r="E34" s="86"/>
    </row>
    <row r="35" spans="1:5" x14ac:dyDescent="0.2">
      <c r="A35" s="84" t="s">
        <v>182</v>
      </c>
      <c r="B35" s="85"/>
      <c r="C35" s="85"/>
      <c r="D35" s="86"/>
      <c r="E35" s="86"/>
    </row>
    <row r="36" spans="1:5" x14ac:dyDescent="0.2">
      <c r="A36" s="84" t="s">
        <v>183</v>
      </c>
      <c r="B36" s="85"/>
      <c r="C36" s="85"/>
      <c r="D36" s="86"/>
      <c r="E36" s="86"/>
    </row>
    <row r="37" spans="1:5" x14ac:dyDescent="0.2">
      <c r="A37" s="84" t="s">
        <v>184</v>
      </c>
      <c r="B37" s="85"/>
      <c r="C37" s="85"/>
      <c r="D37" s="86"/>
      <c r="E37" s="86"/>
    </row>
    <row r="38" spans="1:5" x14ac:dyDescent="0.2">
      <c r="A38" s="84" t="s">
        <v>185</v>
      </c>
      <c r="B38" s="85"/>
      <c r="C38" s="85"/>
      <c r="D38" s="86"/>
      <c r="E38" s="86"/>
    </row>
    <row r="39" spans="1:5" x14ac:dyDescent="0.2">
      <c r="A39" s="84" t="s">
        <v>186</v>
      </c>
      <c r="B39" s="85"/>
      <c r="C39" s="85"/>
      <c r="D39" s="86"/>
      <c r="E39" s="86"/>
    </row>
    <row r="40" spans="1:5" x14ac:dyDescent="0.2">
      <c r="A40" s="84" t="s">
        <v>187</v>
      </c>
      <c r="B40" s="85"/>
      <c r="C40" s="85"/>
      <c r="D40" s="86"/>
      <c r="E40" s="86"/>
    </row>
    <row r="41" spans="1:5" x14ac:dyDescent="0.2">
      <c r="A41" s="84" t="s">
        <v>188</v>
      </c>
      <c r="B41" s="85"/>
      <c r="C41" s="85"/>
      <c r="D41" s="86"/>
      <c r="E41" s="86"/>
    </row>
    <row r="42" spans="1:5" x14ac:dyDescent="0.2">
      <c r="A42" s="84" t="s">
        <v>189</v>
      </c>
      <c r="B42" s="85"/>
      <c r="C42" s="85"/>
      <c r="D42" s="86"/>
      <c r="E42" s="86"/>
    </row>
    <row r="43" spans="1:5" x14ac:dyDescent="0.2">
      <c r="A43" s="84" t="s">
        <v>190</v>
      </c>
      <c r="B43" s="85">
        <v>85004</v>
      </c>
      <c r="C43" s="85">
        <v>21695</v>
      </c>
      <c r="D43" s="86">
        <v>181098</v>
      </c>
      <c r="E43" s="86">
        <v>144115</v>
      </c>
    </row>
    <row r="44" spans="1:5" x14ac:dyDescent="0.2">
      <c r="A44" s="84" t="s">
        <v>191</v>
      </c>
      <c r="B44" s="85"/>
      <c r="C44" s="85"/>
      <c r="D44" s="86"/>
      <c r="E44" s="86"/>
    </row>
    <row r="45" spans="1:5" x14ac:dyDescent="0.2">
      <c r="A45" s="84" t="s">
        <v>192</v>
      </c>
      <c r="B45" s="85"/>
      <c r="C45" s="85"/>
      <c r="D45" s="86"/>
      <c r="E45" s="86"/>
    </row>
    <row r="46" spans="1:5" x14ac:dyDescent="0.2">
      <c r="A46" s="79" t="s">
        <v>193</v>
      </c>
      <c r="B46" s="80">
        <v>60138</v>
      </c>
      <c r="C46" s="80">
        <v>79654</v>
      </c>
      <c r="D46" s="80">
        <v>117103</v>
      </c>
      <c r="E46" s="80">
        <v>110901</v>
      </c>
    </row>
    <row r="47" spans="1:5" x14ac:dyDescent="0.2">
      <c r="A47" s="84" t="s">
        <v>194</v>
      </c>
      <c r="B47" s="85"/>
      <c r="C47" s="85"/>
      <c r="D47" s="86"/>
      <c r="E47" s="86"/>
    </row>
    <row r="48" spans="1:5" x14ac:dyDescent="0.2">
      <c r="A48" s="84" t="s">
        <v>195</v>
      </c>
      <c r="B48" s="85"/>
      <c r="C48" s="85"/>
      <c r="D48" s="86"/>
      <c r="E48" s="86"/>
    </row>
    <row r="49" spans="1:5" x14ac:dyDescent="0.2">
      <c r="A49" s="84" t="s">
        <v>196</v>
      </c>
      <c r="B49" s="85"/>
      <c r="C49" s="85"/>
      <c r="D49" s="86"/>
      <c r="E49" s="86"/>
    </row>
    <row r="50" spans="1:5" x14ac:dyDescent="0.2">
      <c r="A50" s="84" t="s">
        <v>197</v>
      </c>
      <c r="B50" s="85"/>
      <c r="C50" s="85"/>
      <c r="D50" s="86"/>
      <c r="E50" s="86"/>
    </row>
    <row r="51" spans="1:5" x14ac:dyDescent="0.2">
      <c r="A51" s="84" t="s">
        <v>198</v>
      </c>
      <c r="B51" s="85"/>
      <c r="C51" s="85"/>
      <c r="D51" s="86"/>
      <c r="E51" s="86"/>
    </row>
    <row r="52" spans="1:5" x14ac:dyDescent="0.2">
      <c r="A52" s="84" t="s">
        <v>199</v>
      </c>
      <c r="B52" s="85"/>
      <c r="C52" s="85"/>
      <c r="D52" s="86"/>
      <c r="E52" s="86"/>
    </row>
    <row r="53" spans="1:5" x14ac:dyDescent="0.2">
      <c r="A53" s="84" t="s">
        <v>200</v>
      </c>
      <c r="B53" s="85">
        <v>50136</v>
      </c>
      <c r="C53" s="85">
        <v>70174</v>
      </c>
      <c r="D53" s="86">
        <v>105804</v>
      </c>
      <c r="E53" s="86">
        <v>94156</v>
      </c>
    </row>
    <row r="54" spans="1:5" x14ac:dyDescent="0.2">
      <c r="A54" s="84" t="s">
        <v>201</v>
      </c>
      <c r="B54" s="85"/>
      <c r="C54" s="85"/>
      <c r="D54" s="86"/>
      <c r="E54" s="86"/>
    </row>
    <row r="55" spans="1:5" x14ac:dyDescent="0.2">
      <c r="A55" s="84" t="s">
        <v>202</v>
      </c>
      <c r="B55" s="85">
        <v>10002</v>
      </c>
      <c r="C55" s="85">
        <v>9480</v>
      </c>
      <c r="D55" s="86">
        <v>11299</v>
      </c>
      <c r="E55" s="86">
        <v>16745</v>
      </c>
    </row>
    <row r="56" spans="1:5" x14ac:dyDescent="0.2">
      <c r="A56" s="79" t="s">
        <v>203</v>
      </c>
      <c r="B56" s="80">
        <v>24866</v>
      </c>
      <c r="C56" s="80">
        <v>-57959</v>
      </c>
      <c r="D56" s="80">
        <v>63995</v>
      </c>
      <c r="E56" s="80">
        <v>33214</v>
      </c>
    </row>
    <row r="57" spans="1:5" x14ac:dyDescent="0.2">
      <c r="A57" s="79" t="s">
        <v>204</v>
      </c>
      <c r="B57" s="80">
        <v>3475996</v>
      </c>
      <c r="C57" s="80">
        <v>3370987</v>
      </c>
      <c r="D57" s="80">
        <v>4769260</v>
      </c>
      <c r="E57" s="80">
        <v>5479993</v>
      </c>
    </row>
    <row r="58" spans="1:5" x14ac:dyDescent="0.2">
      <c r="A58" s="87" t="s">
        <v>205</v>
      </c>
      <c r="B58" s="80">
        <v>784823</v>
      </c>
      <c r="C58" s="80">
        <v>721334</v>
      </c>
      <c r="D58" s="88">
        <v>1129167</v>
      </c>
      <c r="E58" s="88">
        <v>943365</v>
      </c>
    </row>
    <row r="59" spans="1:5" x14ac:dyDescent="0.2">
      <c r="A59" s="84" t="s">
        <v>206</v>
      </c>
      <c r="B59" s="85">
        <v>766552</v>
      </c>
      <c r="C59" s="85">
        <v>708616</v>
      </c>
      <c r="D59" s="86">
        <v>1143241</v>
      </c>
      <c r="E59" s="86">
        <v>1138368</v>
      </c>
    </row>
    <row r="60" spans="1:5" x14ac:dyDescent="0.2">
      <c r="A60" s="84" t="s">
        <v>207</v>
      </c>
      <c r="B60" s="85">
        <v>18271</v>
      </c>
      <c r="C60" s="85">
        <v>12718</v>
      </c>
      <c r="D60" s="86">
        <v>-14074</v>
      </c>
      <c r="E60" s="86">
        <v>-195003</v>
      </c>
    </row>
    <row r="61" spans="1:5" x14ac:dyDescent="0.2">
      <c r="A61" s="84" t="s">
        <v>208</v>
      </c>
      <c r="B61" s="85"/>
      <c r="C61" s="85"/>
      <c r="D61" s="86"/>
      <c r="E61" s="86"/>
    </row>
    <row r="62" spans="1:5" x14ac:dyDescent="0.2">
      <c r="A62" s="79" t="s">
        <v>108</v>
      </c>
      <c r="B62" s="80">
        <v>2691173</v>
      </c>
      <c r="C62" s="80">
        <v>2649653</v>
      </c>
      <c r="D62" s="80">
        <v>3640093</v>
      </c>
      <c r="E62" s="80">
        <v>4536628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5D65D-D4F3-4D52-8CCC-371CAABDF939}">
  <sheetPr>
    <tabColor theme="9" tint="-0.499984740745262"/>
  </sheetPr>
  <dimension ref="A1:G21"/>
  <sheetViews>
    <sheetView workbookViewId="0">
      <selection activeCell="E16" sqref="E16"/>
    </sheetView>
  </sheetViews>
  <sheetFormatPr defaultColWidth="8.85546875" defaultRowHeight="12.75" x14ac:dyDescent="0.2"/>
  <cols>
    <col min="1" max="1" width="46.7109375" style="3" bestFit="1" customWidth="1"/>
    <col min="2" max="2" width="12.28515625" style="3" customWidth="1"/>
    <col min="3" max="5" width="8.85546875" style="3"/>
    <col min="6" max="6" width="12.140625" style="3" bestFit="1" customWidth="1"/>
    <col min="7" max="7" width="10" style="3" bestFit="1" customWidth="1"/>
    <col min="8" max="16384" width="8.85546875" style="3"/>
  </cols>
  <sheetData>
    <row r="1" spans="1:7" ht="13.5" thickBot="1" x14ac:dyDescent="0.25">
      <c r="A1" s="399" t="s">
        <v>10</v>
      </c>
      <c r="B1" s="401" t="s">
        <v>257</v>
      </c>
      <c r="C1" s="403" t="s">
        <v>9</v>
      </c>
      <c r="D1" s="404"/>
      <c r="E1" s="405"/>
    </row>
    <row r="2" spans="1:7" ht="13.5" thickBot="1" x14ac:dyDescent="0.25">
      <c r="A2" s="400"/>
      <c r="B2" s="402"/>
      <c r="C2" s="89">
        <v>2018</v>
      </c>
      <c r="D2" s="89">
        <v>2019</v>
      </c>
      <c r="E2" s="123">
        <v>2020</v>
      </c>
    </row>
    <row r="3" spans="1:7" ht="13.5" thickBot="1" x14ac:dyDescent="0.25">
      <c r="A3" s="396" t="s">
        <v>209</v>
      </c>
      <c r="B3" s="397"/>
      <c r="C3" s="397"/>
      <c r="D3" s="397"/>
      <c r="E3" s="398"/>
    </row>
    <row r="4" spans="1:7" ht="13.5" thickBot="1" x14ac:dyDescent="0.25">
      <c r="A4" s="124" t="s">
        <v>247</v>
      </c>
      <c r="B4" s="90" t="s">
        <v>258</v>
      </c>
      <c r="C4" s="91">
        <v>2.83</v>
      </c>
      <c r="D4" s="91">
        <v>2.98</v>
      </c>
      <c r="E4" s="125">
        <v>2.81</v>
      </c>
    </row>
    <row r="5" spans="1:7" ht="13.5" thickBot="1" x14ac:dyDescent="0.25">
      <c r="A5" s="396" t="s">
        <v>210</v>
      </c>
      <c r="B5" s="397"/>
      <c r="C5" s="397"/>
      <c r="D5" s="397"/>
      <c r="E5" s="398"/>
      <c r="F5" s="118"/>
    </row>
    <row r="6" spans="1:7" ht="13.5" thickBot="1" x14ac:dyDescent="0.25">
      <c r="A6" s="124" t="s">
        <v>211</v>
      </c>
      <c r="B6" s="90" t="s">
        <v>259</v>
      </c>
      <c r="C6" s="91">
        <v>32.909999999999997</v>
      </c>
      <c r="D6" s="91">
        <v>29.04</v>
      </c>
      <c r="E6" s="126">
        <f>(Súvaha!D35/(SUM(VZaS!D4:D6)/360))</f>
        <v>19.662031126220313</v>
      </c>
      <c r="F6" s="122"/>
      <c r="G6" s="119"/>
    </row>
    <row r="7" spans="1:7" ht="13.5" thickBot="1" x14ac:dyDescent="0.25">
      <c r="A7" s="124" t="s">
        <v>212</v>
      </c>
      <c r="B7" s="90" t="s">
        <v>258</v>
      </c>
      <c r="C7" s="91">
        <v>2.5499999999999998</v>
      </c>
      <c r="D7" s="91">
        <v>2.87</v>
      </c>
      <c r="E7" s="125">
        <v>2.66</v>
      </c>
    </row>
    <row r="8" spans="1:7" ht="13.5" thickBot="1" x14ac:dyDescent="0.25">
      <c r="A8" s="124" t="s">
        <v>260</v>
      </c>
      <c r="B8" s="90" t="s">
        <v>259</v>
      </c>
      <c r="C8" s="91">
        <v>64.33</v>
      </c>
      <c r="D8" s="91">
        <v>29.11</v>
      </c>
      <c r="E8" s="125">
        <v>27.13</v>
      </c>
    </row>
    <row r="9" spans="1:7" ht="13.5" thickBot="1" x14ac:dyDescent="0.25">
      <c r="A9" s="124" t="s">
        <v>261</v>
      </c>
      <c r="B9" s="90" t="s">
        <v>259</v>
      </c>
      <c r="C9" s="91">
        <v>30.43</v>
      </c>
      <c r="D9" s="91">
        <v>24.47</v>
      </c>
      <c r="E9" s="125">
        <v>25.64</v>
      </c>
      <c r="F9" s="117"/>
    </row>
    <row r="10" spans="1:7" ht="13.5" thickBot="1" x14ac:dyDescent="0.25">
      <c r="A10" s="396" t="s">
        <v>213</v>
      </c>
      <c r="B10" s="397"/>
      <c r="C10" s="397"/>
      <c r="D10" s="397"/>
      <c r="E10" s="398"/>
      <c r="F10" s="120"/>
      <c r="G10" s="120"/>
    </row>
    <row r="11" spans="1:7" ht="13.5" thickBot="1" x14ac:dyDescent="0.25">
      <c r="A11" s="124" t="s">
        <v>214</v>
      </c>
      <c r="B11" s="90" t="s">
        <v>262</v>
      </c>
      <c r="C11" s="91">
        <v>38.75</v>
      </c>
      <c r="D11" s="91">
        <v>36.25</v>
      </c>
      <c r="E11" s="125">
        <v>38.880000000000003</v>
      </c>
    </row>
    <row r="12" spans="1:7" ht="13.5" thickBot="1" x14ac:dyDescent="0.25">
      <c r="A12" s="124" t="s">
        <v>215</v>
      </c>
      <c r="B12" s="90" t="s">
        <v>262</v>
      </c>
      <c r="C12" s="92">
        <v>0</v>
      </c>
      <c r="D12" s="92">
        <v>0</v>
      </c>
      <c r="E12" s="126">
        <v>0</v>
      </c>
    </row>
    <row r="13" spans="1:7" ht="13.5" thickBot="1" x14ac:dyDescent="0.25">
      <c r="A13" s="124" t="s">
        <v>216</v>
      </c>
      <c r="B13" s="90" t="s">
        <v>263</v>
      </c>
      <c r="C13" s="91">
        <v>1.21</v>
      </c>
      <c r="D13" s="91">
        <v>1.1000000000000001</v>
      </c>
      <c r="E13" s="125">
        <v>1.0900000000000001</v>
      </c>
      <c r="F13" s="117"/>
      <c r="G13" s="117"/>
    </row>
    <row r="14" spans="1:7" ht="13.5" thickBot="1" x14ac:dyDescent="0.25">
      <c r="A14" s="396" t="s">
        <v>217</v>
      </c>
      <c r="B14" s="397"/>
      <c r="C14" s="397"/>
      <c r="D14" s="397"/>
      <c r="E14" s="398"/>
      <c r="F14" s="120"/>
      <c r="G14" s="121"/>
    </row>
    <row r="15" spans="1:7" ht="13.5" thickBot="1" x14ac:dyDescent="0.25">
      <c r="A15" s="124" t="s">
        <v>252</v>
      </c>
      <c r="B15" s="90" t="s">
        <v>262</v>
      </c>
      <c r="C15" s="91">
        <v>29.49</v>
      </c>
      <c r="D15" s="91">
        <v>30.21</v>
      </c>
      <c r="E15" s="125">
        <v>33.619999999999997</v>
      </c>
    </row>
    <row r="16" spans="1:7" ht="13.5" thickBot="1" x14ac:dyDescent="0.25">
      <c r="A16" s="124" t="s">
        <v>256</v>
      </c>
      <c r="B16" s="90" t="s">
        <v>262</v>
      </c>
      <c r="C16" s="91">
        <v>48.15</v>
      </c>
      <c r="D16" s="91">
        <v>47.39</v>
      </c>
      <c r="E16" s="126">
        <v>55</v>
      </c>
    </row>
    <row r="17" spans="1:5" ht="13.5" thickBot="1" x14ac:dyDescent="0.25">
      <c r="A17" s="124" t="s">
        <v>253</v>
      </c>
      <c r="B17" s="90" t="s">
        <v>262</v>
      </c>
      <c r="C17" s="91">
        <v>11.55</v>
      </c>
      <c r="D17" s="91">
        <v>10.51</v>
      </c>
      <c r="E17" s="125">
        <v>12.64</v>
      </c>
    </row>
    <row r="18" spans="1:5" x14ac:dyDescent="0.2">
      <c r="A18" s="127" t="s">
        <v>3</v>
      </c>
      <c r="B18" s="128" t="s">
        <v>262</v>
      </c>
      <c r="C18" s="129">
        <v>0.05</v>
      </c>
      <c r="D18" s="129">
        <v>0.05</v>
      </c>
      <c r="E18" s="130">
        <v>0.27</v>
      </c>
    </row>
    <row r="19" spans="1:5" x14ac:dyDescent="0.2">
      <c r="A19" s="27"/>
      <c r="B19" s="93"/>
      <c r="C19" s="93"/>
      <c r="D19" s="93"/>
      <c r="E19" s="27"/>
    </row>
    <row r="20" spans="1:5" x14ac:dyDescent="0.2">
      <c r="A20" s="27"/>
      <c r="B20" s="27"/>
      <c r="C20" s="27"/>
      <c r="D20" s="27"/>
      <c r="E20" s="27"/>
    </row>
    <row r="21" spans="1:5" x14ac:dyDescent="0.2">
      <c r="A21" s="27"/>
      <c r="B21" s="27"/>
      <c r="C21" s="27"/>
      <c r="D21" s="27"/>
      <c r="E21" s="27"/>
    </row>
  </sheetData>
  <mergeCells count="7">
    <mergeCell ref="A10:E10"/>
    <mergeCell ref="A14:E14"/>
    <mergeCell ref="A1:A2"/>
    <mergeCell ref="B1:B2"/>
    <mergeCell ref="C1:E1"/>
    <mergeCell ref="A3:E3"/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7471C-F4DE-4983-8FA7-AD348CA0848D}">
  <sheetPr>
    <tabColor theme="9" tint="-0.499984740745262"/>
  </sheetPr>
  <dimension ref="A1:O37"/>
  <sheetViews>
    <sheetView zoomScaleNormal="100" workbookViewId="0">
      <selection activeCell="F37" sqref="F37"/>
    </sheetView>
  </sheetViews>
  <sheetFormatPr defaultRowHeight="15" x14ac:dyDescent="0.25"/>
  <cols>
    <col min="1" max="1" width="43.5703125" style="110" bestFit="1" customWidth="1"/>
    <col min="2" max="4" width="9.140625" style="110"/>
    <col min="5" max="10" width="9.140625" style="107"/>
    <col min="11" max="11" width="9.140625" style="109"/>
    <col min="12" max="15" width="9.140625" style="108"/>
  </cols>
  <sheetData>
    <row r="1" spans="1:10" x14ac:dyDescent="0.25">
      <c r="A1" s="17" t="s">
        <v>266</v>
      </c>
      <c r="B1" s="408" t="s">
        <v>9</v>
      </c>
      <c r="C1" s="408"/>
      <c r="D1" s="408"/>
      <c r="E1" s="13"/>
      <c r="F1" s="13"/>
      <c r="G1" s="13"/>
      <c r="H1" s="13"/>
      <c r="I1" s="13"/>
      <c r="J1" s="13"/>
    </row>
    <row r="2" spans="1:10" x14ac:dyDescent="0.25">
      <c r="A2" s="7"/>
      <c r="B2" s="8">
        <v>2018</v>
      </c>
      <c r="C2" s="8">
        <v>2019</v>
      </c>
      <c r="D2" s="8">
        <v>2020</v>
      </c>
      <c r="E2" s="13" t="s">
        <v>304</v>
      </c>
      <c r="F2" s="13" t="s">
        <v>299</v>
      </c>
      <c r="G2" s="13"/>
      <c r="H2" s="13"/>
      <c r="I2" s="13"/>
      <c r="J2" s="13"/>
    </row>
    <row r="3" spans="1:10" x14ac:dyDescent="0.25">
      <c r="A3" s="407" t="s">
        <v>219</v>
      </c>
      <c r="B3" s="407"/>
      <c r="C3" s="407"/>
      <c r="D3" s="407"/>
      <c r="E3" s="13" t="s">
        <v>294</v>
      </c>
      <c r="F3" s="13" t="s">
        <v>294</v>
      </c>
      <c r="G3" s="13"/>
      <c r="H3" s="13"/>
      <c r="I3" s="13"/>
      <c r="J3" s="13"/>
    </row>
    <row r="4" spans="1:10" x14ac:dyDescent="0.25">
      <c r="A4" s="9" t="s">
        <v>222</v>
      </c>
      <c r="B4" s="94">
        <v>0.48149999999999998</v>
      </c>
      <c r="C4" s="94">
        <v>0.47389999999999999</v>
      </c>
      <c r="D4" s="94">
        <v>0.55000000000000004</v>
      </c>
      <c r="E4" s="97">
        <v>-7.6E-3</v>
      </c>
      <c r="F4" s="97">
        <v>7.6100000000000001E-2</v>
      </c>
      <c r="G4" s="13"/>
      <c r="H4" s="13"/>
      <c r="I4" s="13"/>
      <c r="J4" s="13"/>
    </row>
    <row r="5" spans="1:10" x14ac:dyDescent="0.25">
      <c r="A5" s="407" t="s">
        <v>218</v>
      </c>
      <c r="B5" s="407"/>
      <c r="C5" s="407"/>
      <c r="D5" s="407"/>
      <c r="E5" s="406" t="s">
        <v>295</v>
      </c>
      <c r="F5" s="406"/>
      <c r="G5" s="406"/>
      <c r="H5" s="406"/>
      <c r="I5" s="13" t="s">
        <v>304</v>
      </c>
      <c r="J5" s="13" t="s">
        <v>299</v>
      </c>
    </row>
    <row r="6" spans="1:10" x14ac:dyDescent="0.25">
      <c r="A6" s="9" t="s">
        <v>223</v>
      </c>
      <c r="B6" s="94">
        <v>0.11550000000000001</v>
      </c>
      <c r="C6" s="94">
        <v>0.1051</v>
      </c>
      <c r="D6" s="94">
        <v>0.12640000000000001</v>
      </c>
      <c r="E6" s="13">
        <v>-4.4999999999999998E-2</v>
      </c>
      <c r="F6" s="99">
        <v>-5.8983999999999996</v>
      </c>
      <c r="G6" s="13">
        <v>9.4299999999999995E-2</v>
      </c>
      <c r="H6" s="99">
        <v>1.2399</v>
      </c>
      <c r="I6" s="101">
        <v>-1.04E-2</v>
      </c>
      <c r="J6" s="101">
        <v>2.1299999999999999E-2</v>
      </c>
    </row>
    <row r="7" spans="1:10" x14ac:dyDescent="0.25">
      <c r="A7" s="9" t="s">
        <v>246</v>
      </c>
      <c r="B7" s="94">
        <v>0.39169999999999999</v>
      </c>
      <c r="C7" s="94">
        <v>0.34799999999999998</v>
      </c>
      <c r="D7" s="94">
        <v>0.37609999999999999</v>
      </c>
      <c r="E7" s="13">
        <v>5.6500000000000002E-2</v>
      </c>
      <c r="F7" s="99">
        <v>7.4071999999999996</v>
      </c>
      <c r="G7" s="13">
        <v>-3.9800000000000002E-2</v>
      </c>
      <c r="H7" s="99">
        <v>-0.52349999999999997</v>
      </c>
      <c r="I7" s="102">
        <v>-4.3700000000000003E-2</v>
      </c>
      <c r="J7" s="102">
        <v>2.8199999999999999E-2</v>
      </c>
    </row>
    <row r="8" spans="1:10" x14ac:dyDescent="0.25">
      <c r="A8" s="9" t="s">
        <v>224</v>
      </c>
      <c r="B8" s="94">
        <v>0.61250000000000004</v>
      </c>
      <c r="C8" s="94">
        <v>0.63749999999999996</v>
      </c>
      <c r="D8" s="94">
        <v>0.61119999999999997</v>
      </c>
      <c r="E8" s="13">
        <v>-1.9099999999999999E-2</v>
      </c>
      <c r="F8" s="99">
        <v>-2.5087999999999999</v>
      </c>
      <c r="G8" s="13">
        <v>2.1600000000000001E-2</v>
      </c>
      <c r="H8" s="99">
        <v>0.28349999999999997</v>
      </c>
      <c r="I8" s="103">
        <v>2.5000000000000001E-2</v>
      </c>
      <c r="J8" s="103">
        <v>-2.63E-2</v>
      </c>
    </row>
    <row r="9" spans="1:10" x14ac:dyDescent="0.25">
      <c r="A9" s="407" t="s">
        <v>220</v>
      </c>
      <c r="B9" s="407"/>
      <c r="C9" s="407"/>
      <c r="D9" s="407"/>
      <c r="E9" s="97">
        <v>-7.6E-3</v>
      </c>
      <c r="F9" s="100">
        <v>-1</v>
      </c>
      <c r="G9" s="97">
        <v>7.6100000000000001E-2</v>
      </c>
      <c r="H9" s="100">
        <v>0.99990000000000001</v>
      </c>
      <c r="I9" s="13"/>
      <c r="J9" s="13"/>
    </row>
    <row r="10" spans="1:10" x14ac:dyDescent="0.25">
      <c r="A10" s="9" t="s">
        <v>225</v>
      </c>
      <c r="B10" s="94">
        <v>0.77980000000000005</v>
      </c>
      <c r="C10" s="94">
        <v>0.77270000000000005</v>
      </c>
      <c r="D10" s="94">
        <v>0.77359999999999995</v>
      </c>
      <c r="E10" s="13">
        <v>-1E-3</v>
      </c>
      <c r="F10" s="99">
        <v>-9.6699999999999994E-2</v>
      </c>
      <c r="G10" s="13">
        <v>1E-4</v>
      </c>
      <c r="H10" s="99">
        <v>6.3E-3</v>
      </c>
      <c r="I10" s="13" t="s">
        <v>304</v>
      </c>
      <c r="J10" s="13" t="s">
        <v>299</v>
      </c>
    </row>
    <row r="11" spans="1:10" x14ac:dyDescent="0.25">
      <c r="A11" s="9" t="s">
        <v>226</v>
      </c>
      <c r="B11" s="94">
        <v>0.1472</v>
      </c>
      <c r="C11" s="94">
        <v>0.13519999999999999</v>
      </c>
      <c r="D11" s="94">
        <v>0.16270000000000001</v>
      </c>
      <c r="E11" s="13">
        <v>-9.4000000000000004E-3</v>
      </c>
      <c r="F11" s="99">
        <v>-0.90459999999999996</v>
      </c>
      <c r="G11" s="13">
        <v>2.1399999999999999E-2</v>
      </c>
      <c r="H11" s="99">
        <v>1.0047999999999999</v>
      </c>
      <c r="I11" s="104">
        <v>-1.2E-2</v>
      </c>
      <c r="J11" s="104">
        <v>2.75E-2</v>
      </c>
    </row>
    <row r="12" spans="1:10" x14ac:dyDescent="0.25">
      <c r="A12" s="9" t="s">
        <v>227</v>
      </c>
      <c r="B12" s="94">
        <v>0.99360000000000004</v>
      </c>
      <c r="C12" s="94">
        <v>0.99350000000000005</v>
      </c>
      <c r="D12" s="94">
        <v>0.99550000000000005</v>
      </c>
      <c r="E12" s="13">
        <v>0</v>
      </c>
      <c r="F12" s="99">
        <v>1.2999999999999999E-3</v>
      </c>
      <c r="G12" s="13">
        <v>-2.0000000000000001E-4</v>
      </c>
      <c r="H12" s="99">
        <v>-1.11E-2</v>
      </c>
      <c r="I12" s="13"/>
      <c r="J12" s="13"/>
    </row>
    <row r="13" spans="1:10" x14ac:dyDescent="0.25">
      <c r="A13" s="410" t="s">
        <v>296</v>
      </c>
      <c r="B13" s="410"/>
      <c r="C13" s="410"/>
      <c r="D13" s="410"/>
      <c r="E13" s="101">
        <v>-1.04E-2</v>
      </c>
      <c r="F13" s="100">
        <v>-1</v>
      </c>
      <c r="G13" s="101">
        <f>SUM(G10:G12)</f>
        <v>2.1299999999999999E-2</v>
      </c>
      <c r="H13" s="100">
        <v>1</v>
      </c>
      <c r="I13" s="13"/>
      <c r="J13" s="13"/>
    </row>
    <row r="14" spans="1:10" x14ac:dyDescent="0.25">
      <c r="A14" s="9" t="s">
        <v>228</v>
      </c>
      <c r="B14" s="94">
        <v>8.0100000000000005E-2</v>
      </c>
      <c r="C14" s="94">
        <v>7.0199999999999999E-2</v>
      </c>
      <c r="D14" s="94">
        <v>6.7799999999999999E-2</v>
      </c>
      <c r="E14" s="13">
        <v>-9.9000000000000008E-3</v>
      </c>
      <c r="F14" s="99">
        <v>-0.2261</v>
      </c>
      <c r="G14" s="13">
        <v>-2.3999999999999998E-3</v>
      </c>
      <c r="H14" s="99">
        <v>-8.6800000000000002E-2</v>
      </c>
      <c r="I14" s="13"/>
      <c r="J14" s="13"/>
    </row>
    <row r="15" spans="1:10" x14ac:dyDescent="0.25">
      <c r="A15" s="9" t="s">
        <v>229</v>
      </c>
      <c r="B15" s="94">
        <v>0.31109999999999999</v>
      </c>
      <c r="C15" s="94">
        <v>0.27729999999999999</v>
      </c>
      <c r="D15" s="94">
        <v>0.30790000000000001</v>
      </c>
      <c r="E15" s="13">
        <v>-3.3799999999999997E-2</v>
      </c>
      <c r="F15" s="99">
        <v>-0.77359999999999995</v>
      </c>
      <c r="G15" s="13">
        <v>3.0599999999999999E-2</v>
      </c>
      <c r="H15" s="99">
        <v>1.0866</v>
      </c>
      <c r="I15" s="13"/>
      <c r="J15" s="13"/>
    </row>
    <row r="16" spans="1:10" x14ac:dyDescent="0.25">
      <c r="A16" s="9" t="s">
        <v>230</v>
      </c>
      <c r="B16" s="94">
        <v>5.0000000000000001E-4</v>
      </c>
      <c r="C16" s="94">
        <v>5.0000000000000001E-4</v>
      </c>
      <c r="D16" s="94">
        <v>5.0000000000000001E-4</v>
      </c>
      <c r="E16" s="13">
        <v>0</v>
      </c>
      <c r="F16" s="99">
        <v>-2.9999999999999997E-4</v>
      </c>
      <c r="G16" s="13">
        <v>0</v>
      </c>
      <c r="H16" s="99">
        <v>2.0000000000000001E-4</v>
      </c>
      <c r="I16" s="13"/>
      <c r="J16" s="13"/>
    </row>
    <row r="17" spans="1:10" x14ac:dyDescent="0.25">
      <c r="A17" s="410" t="s">
        <v>296</v>
      </c>
      <c r="B17" s="410"/>
      <c r="C17" s="410"/>
      <c r="D17" s="410"/>
      <c r="E17" s="102">
        <v>-4.3700000000000003E-2</v>
      </c>
      <c r="F17" s="100">
        <v>-1</v>
      </c>
      <c r="G17" s="102">
        <v>2.8199999999999999E-2</v>
      </c>
      <c r="H17" s="100">
        <v>1</v>
      </c>
      <c r="I17" s="13"/>
      <c r="J17" s="13"/>
    </row>
    <row r="18" spans="1:10" x14ac:dyDescent="0.25">
      <c r="A18" s="9" t="s">
        <v>231</v>
      </c>
      <c r="B18" s="94">
        <v>1.5804</v>
      </c>
      <c r="C18" s="94">
        <v>1.7585999999999999</v>
      </c>
      <c r="D18" s="94">
        <v>1.5722</v>
      </c>
      <c r="E18" s="13">
        <v>3.3799999999999997E-2</v>
      </c>
      <c r="F18" s="99">
        <v>1.3519000000000001</v>
      </c>
      <c r="G18" s="13">
        <v>-1.83E-2</v>
      </c>
      <c r="H18" s="99">
        <v>-0.69599999999999995</v>
      </c>
      <c r="I18" s="13"/>
      <c r="J18" s="13"/>
    </row>
    <row r="19" spans="1:10" x14ac:dyDescent="0.25">
      <c r="A19" s="9" t="s">
        <v>232</v>
      </c>
      <c r="B19" s="94">
        <v>0.38750000000000001</v>
      </c>
      <c r="C19" s="94">
        <v>0.36249999999999999</v>
      </c>
      <c r="D19" s="94">
        <v>0.38879999999999998</v>
      </c>
      <c r="E19" s="13">
        <v>-8.8000000000000005E-3</v>
      </c>
      <c r="F19" s="99">
        <v>-0.35189999999999999</v>
      </c>
      <c r="G19" s="13">
        <v>-8.0000000000000002E-3</v>
      </c>
      <c r="H19" s="99">
        <v>-0.30399999999999999</v>
      </c>
      <c r="I19" s="13"/>
      <c r="J19" s="13"/>
    </row>
    <row r="20" spans="1:10" x14ac:dyDescent="0.25">
      <c r="A20" s="410" t="s">
        <v>296</v>
      </c>
      <c r="B20" s="410"/>
      <c r="C20" s="410"/>
      <c r="D20" s="410"/>
      <c r="E20" s="103">
        <v>2.5000000000000001E-2</v>
      </c>
      <c r="F20" s="100">
        <v>1</v>
      </c>
      <c r="G20" s="103">
        <v>-2.63E-2</v>
      </c>
      <c r="H20" s="100">
        <v>-1</v>
      </c>
      <c r="I20" s="13"/>
      <c r="J20" s="13"/>
    </row>
    <row r="21" spans="1:10" x14ac:dyDescent="0.25">
      <c r="A21" s="9" t="s">
        <v>265</v>
      </c>
      <c r="B21" s="95">
        <v>0.8528</v>
      </c>
      <c r="C21" s="95">
        <v>0.86480000000000001</v>
      </c>
      <c r="D21" s="95">
        <v>0.83730000000000004</v>
      </c>
      <c r="E21" s="104">
        <v>-1.2E-2</v>
      </c>
      <c r="F21" s="104"/>
      <c r="G21" s="104">
        <v>2.75E-2</v>
      </c>
      <c r="H21" s="104"/>
      <c r="I21" s="13"/>
      <c r="J21" s="13"/>
    </row>
    <row r="22" spans="1:10" x14ac:dyDescent="0.25">
      <c r="A22" s="407" t="s">
        <v>221</v>
      </c>
      <c r="B22" s="407"/>
      <c r="C22" s="407"/>
      <c r="D22" s="407"/>
      <c r="E22" s="13"/>
      <c r="F22" s="13"/>
      <c r="G22" s="13"/>
      <c r="H22" s="13"/>
      <c r="I22" s="13"/>
      <c r="J22" s="13"/>
    </row>
    <row r="23" spans="1:10" x14ac:dyDescent="0.25">
      <c r="A23" s="9" t="s">
        <v>233</v>
      </c>
      <c r="B23" s="94">
        <v>0.34699999999999998</v>
      </c>
      <c r="C23" s="94">
        <v>0.34689999999999999</v>
      </c>
      <c r="D23" s="94">
        <v>0.33550000000000002</v>
      </c>
      <c r="E23" s="112">
        <f>(C23-B23)*-1</f>
        <v>9.9999999999988987E-5</v>
      </c>
      <c r="F23" s="99">
        <v>-1.11E-2</v>
      </c>
      <c r="G23" s="13">
        <v>1.14E-2</v>
      </c>
      <c r="H23" s="99">
        <v>0.41249999999999998</v>
      </c>
      <c r="I23" s="13"/>
      <c r="J23" s="13"/>
    </row>
    <row r="24" spans="1:10" x14ac:dyDescent="0.25">
      <c r="A24" s="9" t="s">
        <v>234</v>
      </c>
      <c r="B24" s="94">
        <v>0.18049999999999999</v>
      </c>
      <c r="C24" s="94">
        <v>0.20269999999999999</v>
      </c>
      <c r="D24" s="94">
        <v>0.19850000000000001</v>
      </c>
      <c r="E24" s="112">
        <f t="shared" ref="E24:E28" si="0">(C24-B24)*-1</f>
        <v>-2.2199999999999998E-2</v>
      </c>
      <c r="F24" s="99">
        <v>1.8452</v>
      </c>
      <c r="G24" s="13">
        <v>4.1999999999999997E-3</v>
      </c>
      <c r="H24" s="99">
        <v>0.15359999999999999</v>
      </c>
      <c r="I24" s="13"/>
      <c r="J24" s="13"/>
    </row>
    <row r="25" spans="1:10" x14ac:dyDescent="0.25">
      <c r="A25" s="9" t="s">
        <v>235</v>
      </c>
      <c r="B25" s="94">
        <v>0.19489999999999999</v>
      </c>
      <c r="C25" s="94">
        <v>0.17249999999999999</v>
      </c>
      <c r="D25" s="94">
        <v>0.16259999999999999</v>
      </c>
      <c r="E25" s="112">
        <f t="shared" si="0"/>
        <v>2.2400000000000003E-2</v>
      </c>
      <c r="F25" s="99">
        <v>-1.8681000000000001</v>
      </c>
      <c r="G25" s="13">
        <v>9.7999999999999997E-3</v>
      </c>
      <c r="H25" s="99">
        <v>0.35749999999999998</v>
      </c>
      <c r="I25" s="13"/>
      <c r="J25" s="13"/>
    </row>
    <row r="26" spans="1:10" x14ac:dyDescent="0.25">
      <c r="A26" s="9" t="s">
        <v>236</v>
      </c>
      <c r="B26" s="94">
        <v>0.11070000000000001</v>
      </c>
      <c r="C26" s="94">
        <v>0.1215</v>
      </c>
      <c r="D26" s="94">
        <v>0.12330000000000001</v>
      </c>
      <c r="E26" s="112">
        <f t="shared" si="0"/>
        <v>-1.079999999999999E-2</v>
      </c>
      <c r="F26" s="99">
        <v>0.89729999999999999</v>
      </c>
      <c r="G26" s="13">
        <v>-1.8E-3</v>
      </c>
      <c r="H26" s="99">
        <v>-6.59E-2</v>
      </c>
      <c r="I26" s="13"/>
      <c r="J26" s="13"/>
    </row>
    <row r="27" spans="1:10" x14ac:dyDescent="0.25">
      <c r="A27" s="9" t="s">
        <v>237</v>
      </c>
      <c r="B27" s="94">
        <v>1.0200000000000001E-2</v>
      </c>
      <c r="C27" s="94">
        <v>9.1999999999999998E-3</v>
      </c>
      <c r="D27" s="94">
        <v>7.9000000000000008E-3</v>
      </c>
      <c r="E27" s="112">
        <f t="shared" si="0"/>
        <v>1.0000000000000009E-3</v>
      </c>
      <c r="F27" s="99">
        <v>-8.48E-2</v>
      </c>
      <c r="G27" s="13">
        <v>1.2999999999999999E-3</v>
      </c>
      <c r="H27" s="99">
        <v>4.7600000000000003E-2</v>
      </c>
      <c r="I27" s="13"/>
      <c r="J27" s="13"/>
    </row>
    <row r="28" spans="1:10" x14ac:dyDescent="0.25">
      <c r="A28" s="9" t="s">
        <v>238</v>
      </c>
      <c r="B28" s="94">
        <v>9.4000000000000004E-3</v>
      </c>
      <c r="C28" s="94">
        <v>1.21E-2</v>
      </c>
      <c r="D28" s="94">
        <v>9.4999999999999998E-3</v>
      </c>
      <c r="E28" s="112">
        <f t="shared" si="0"/>
        <v>-2.6999999999999993E-3</v>
      </c>
      <c r="F28" s="99">
        <v>0.22140000000000001</v>
      </c>
      <c r="G28" s="13">
        <v>2.5999999999999999E-3</v>
      </c>
      <c r="H28" s="99">
        <v>9.4700000000000006E-2</v>
      </c>
      <c r="I28" s="13"/>
      <c r="J28" s="13"/>
    </row>
    <row r="29" spans="1:10" x14ac:dyDescent="0.25">
      <c r="A29" s="15" t="s">
        <v>296</v>
      </c>
      <c r="B29" s="96">
        <v>0.8528</v>
      </c>
      <c r="C29" s="96">
        <v>0.86480000000000001</v>
      </c>
      <c r="D29" s="96">
        <v>0.83730000000000004</v>
      </c>
      <c r="E29" s="209">
        <f>SUM(E23:E28)</f>
        <v>-1.2199999999999994E-2</v>
      </c>
      <c r="F29" s="105">
        <f>SUM(F23:F28)</f>
        <v>0.99989999999999979</v>
      </c>
      <c r="G29" s="104">
        <f>SUM(G23:G28)</f>
        <v>2.7499999999999997E-2</v>
      </c>
      <c r="H29" s="105">
        <f>SUM(H23:H28)</f>
        <v>1</v>
      </c>
      <c r="I29" s="13"/>
      <c r="J29" s="13"/>
    </row>
    <row r="30" spans="1:10" x14ac:dyDescent="0.25">
      <c r="A30" s="9" t="s">
        <v>240</v>
      </c>
      <c r="B30" s="94">
        <v>2.9999999999999997E-4</v>
      </c>
      <c r="C30" s="94">
        <v>1E-4</v>
      </c>
      <c r="D30" s="94">
        <v>0</v>
      </c>
      <c r="E30" s="13">
        <v>-1E-4</v>
      </c>
      <c r="F30" s="99">
        <v>2.8E-3</v>
      </c>
      <c r="G30" s="13">
        <v>-1E-4</v>
      </c>
      <c r="H30" s="99">
        <v>-3.8999999999999998E-3</v>
      </c>
      <c r="I30" s="13"/>
      <c r="J30" s="13"/>
    </row>
    <row r="31" spans="1:10" x14ac:dyDescent="0.25">
      <c r="A31" s="9" t="s">
        <v>239</v>
      </c>
      <c r="B31" s="94">
        <v>7.9799999999999996E-2</v>
      </c>
      <c r="C31" s="10">
        <f>'PR 2021'!B31</f>
        <v>7.0099999999999996E-2</v>
      </c>
      <c r="D31" s="10">
        <f>'PR 2021'!D31</f>
        <v>6.6620726264311037E-2</v>
      </c>
      <c r="E31" s="13">
        <v>-9.7999999999999997E-3</v>
      </c>
      <c r="F31" s="99">
        <v>0.22339999999999999</v>
      </c>
      <c r="G31" s="112">
        <f>-0.0023</f>
        <v>-2.3E-3</v>
      </c>
      <c r="H31" s="99">
        <v>-8.3000000000000004E-2</v>
      </c>
      <c r="I31" s="13"/>
      <c r="J31" s="13"/>
    </row>
    <row r="32" spans="1:10" x14ac:dyDescent="0.25">
      <c r="A32" s="9" t="s">
        <v>241</v>
      </c>
      <c r="B32" s="94">
        <v>0</v>
      </c>
      <c r="C32" s="94">
        <v>0</v>
      </c>
      <c r="D32" s="94">
        <v>0</v>
      </c>
      <c r="E32" s="13">
        <v>0</v>
      </c>
      <c r="F32" s="99">
        <v>0</v>
      </c>
      <c r="G32" s="13">
        <v>0</v>
      </c>
      <c r="H32" s="99">
        <v>0</v>
      </c>
      <c r="I32" s="13"/>
      <c r="J32" s="13"/>
    </row>
    <row r="33" spans="1:10" x14ac:dyDescent="0.25">
      <c r="A33" s="9" t="s">
        <v>242</v>
      </c>
      <c r="B33" s="94">
        <v>9.1399999999999995E-2</v>
      </c>
      <c r="C33" s="94">
        <v>8.0699999999999994E-2</v>
      </c>
      <c r="D33" s="94">
        <v>5.4600000000000003E-2</v>
      </c>
      <c r="E33" s="13">
        <v>-1.0699999999999999E-2</v>
      </c>
      <c r="F33" s="99">
        <v>0.246</v>
      </c>
      <c r="G33" s="13">
        <v>-2.6100000000000002E-2</v>
      </c>
      <c r="H33" s="99">
        <v>-0.92569999999999997</v>
      </c>
      <c r="I33" s="13"/>
      <c r="J33" s="13"/>
    </row>
    <row r="34" spans="1:10" x14ac:dyDescent="0.25">
      <c r="A34" s="9" t="s">
        <v>243</v>
      </c>
      <c r="B34" s="94">
        <v>4.0000000000000002E-4</v>
      </c>
      <c r="C34" s="94">
        <v>2.9999999999999997E-4</v>
      </c>
      <c r="D34" s="94">
        <v>2.9999999999999997E-4</v>
      </c>
      <c r="E34" s="13">
        <v>0</v>
      </c>
      <c r="F34" s="99">
        <v>1E-3</v>
      </c>
      <c r="G34" s="13">
        <v>0</v>
      </c>
      <c r="H34" s="99">
        <v>-1.6999999999999999E-3</v>
      </c>
      <c r="I34" s="13"/>
      <c r="J34" s="13"/>
    </row>
    <row r="35" spans="1:10" x14ac:dyDescent="0.25">
      <c r="A35" s="9" t="s">
        <v>244</v>
      </c>
      <c r="B35" s="94">
        <v>0.18</v>
      </c>
      <c r="C35" s="94">
        <v>0.13489999999999999</v>
      </c>
      <c r="D35" s="94">
        <v>0.18820000000000001</v>
      </c>
      <c r="E35" s="13">
        <v>-4.5100000000000001E-2</v>
      </c>
      <c r="F35" s="99">
        <v>1.032</v>
      </c>
      <c r="G35" s="13">
        <v>5.33E-2</v>
      </c>
      <c r="H35" s="99">
        <v>1.8937999999999999</v>
      </c>
      <c r="I35" s="13"/>
      <c r="J35" s="13"/>
    </row>
    <row r="36" spans="1:10" x14ac:dyDescent="0.25">
      <c r="A36" s="9" t="s">
        <v>245</v>
      </c>
      <c r="B36" s="94">
        <v>3.9300000000000002E-2</v>
      </c>
      <c r="C36" s="94">
        <v>6.1400000000000003E-2</v>
      </c>
      <c r="D36" s="94">
        <v>6.4699999999999994E-2</v>
      </c>
      <c r="E36" s="13">
        <v>2.2100000000000002E-2</v>
      </c>
      <c r="F36" s="99">
        <v>-0.50509999999999999</v>
      </c>
      <c r="G36" s="13">
        <v>3.3999999999999998E-3</v>
      </c>
      <c r="H36" s="99">
        <v>0.1205</v>
      </c>
      <c r="I36" s="13"/>
      <c r="J36" s="13"/>
    </row>
    <row r="37" spans="1:10" x14ac:dyDescent="0.25">
      <c r="A37" s="409" t="s">
        <v>296</v>
      </c>
      <c r="B37" s="409"/>
      <c r="C37" s="409"/>
      <c r="D37" s="409"/>
      <c r="E37" s="102">
        <f>SUM(E30:E36)</f>
        <v>-4.3600000000000007E-2</v>
      </c>
      <c r="F37" s="106">
        <v>1</v>
      </c>
      <c r="G37" s="114">
        <f>SUM(G30:G36)</f>
        <v>2.8199999999999999E-2</v>
      </c>
      <c r="H37" s="106">
        <v>1</v>
      </c>
      <c r="I37" s="13"/>
      <c r="J37" s="13"/>
    </row>
  </sheetData>
  <mergeCells count="10">
    <mergeCell ref="A37:D37"/>
    <mergeCell ref="A13:D13"/>
    <mergeCell ref="A17:D17"/>
    <mergeCell ref="A20:D20"/>
    <mergeCell ref="A22:D22"/>
    <mergeCell ref="E5:H5"/>
    <mergeCell ref="A5:D5"/>
    <mergeCell ref="B1:D1"/>
    <mergeCell ref="A3:D3"/>
    <mergeCell ref="A9:D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9A97F-C82C-4260-AA43-ED5C5D08AFE2}">
  <sheetPr>
    <tabColor theme="9" tint="-0.499984740745262"/>
  </sheetPr>
  <dimension ref="A1:L37"/>
  <sheetViews>
    <sheetView workbookViewId="0">
      <selection activeCell="N10" sqref="N10"/>
    </sheetView>
  </sheetViews>
  <sheetFormatPr defaultRowHeight="15" x14ac:dyDescent="0.25"/>
  <cols>
    <col min="1" max="1" width="43.5703125" style="110" bestFit="1" customWidth="1"/>
    <col min="2" max="4" width="9.140625" style="110"/>
    <col min="5" max="10" width="9.140625" style="107"/>
    <col min="11" max="11" width="9.140625" style="109"/>
    <col min="12" max="12" width="9.140625" style="108"/>
  </cols>
  <sheetData>
    <row r="1" spans="1:10" x14ac:dyDescent="0.25">
      <c r="A1" s="17" t="s">
        <v>266</v>
      </c>
      <c r="B1" s="408" t="s">
        <v>9</v>
      </c>
      <c r="C1" s="408"/>
      <c r="D1" s="17"/>
      <c r="E1" s="13"/>
      <c r="F1" s="13"/>
      <c r="G1" s="13"/>
      <c r="H1" s="13"/>
      <c r="I1" s="13"/>
      <c r="J1" s="13"/>
    </row>
    <row r="2" spans="1:10" x14ac:dyDescent="0.25">
      <c r="A2" s="7"/>
      <c r="B2" s="8">
        <v>2019</v>
      </c>
      <c r="C2" s="8">
        <v>2020</v>
      </c>
      <c r="D2" s="8">
        <v>2021</v>
      </c>
      <c r="E2" s="13" t="s">
        <v>299</v>
      </c>
      <c r="F2" s="13" t="s">
        <v>297</v>
      </c>
      <c r="G2" s="13"/>
      <c r="H2" s="13"/>
      <c r="I2" s="13"/>
      <c r="J2" s="13"/>
    </row>
    <row r="3" spans="1:10" x14ac:dyDescent="0.25">
      <c r="A3" s="407" t="s">
        <v>219</v>
      </c>
      <c r="B3" s="407"/>
      <c r="C3" s="407"/>
      <c r="D3" s="16"/>
      <c r="E3" s="13" t="s">
        <v>294</v>
      </c>
      <c r="F3" s="13" t="s">
        <v>294</v>
      </c>
      <c r="G3" s="13"/>
      <c r="H3" s="13"/>
      <c r="I3" s="13"/>
      <c r="J3" s="13"/>
    </row>
    <row r="4" spans="1:10" x14ac:dyDescent="0.25">
      <c r="A4" s="9" t="s">
        <v>222</v>
      </c>
      <c r="B4" s="94">
        <v>0.47389999999999999</v>
      </c>
      <c r="C4" s="10">
        <v>0.55000000000000004</v>
      </c>
      <c r="D4" s="10">
        <f>VZaS!E62/Súvaha!K3</f>
        <v>0.60247175773363859</v>
      </c>
      <c r="E4" s="97">
        <f>C4-B4</f>
        <v>7.6100000000000056E-2</v>
      </c>
      <c r="F4" s="14">
        <f>D4-C4</f>
        <v>5.2471757733638547E-2</v>
      </c>
      <c r="G4" s="13"/>
      <c r="H4" s="13"/>
      <c r="I4" s="13"/>
      <c r="J4" s="13"/>
    </row>
    <row r="5" spans="1:10" x14ac:dyDescent="0.25">
      <c r="A5" s="407" t="s">
        <v>218</v>
      </c>
      <c r="B5" s="407"/>
      <c r="C5" s="407"/>
      <c r="D5" s="16"/>
      <c r="E5" s="406" t="s">
        <v>295</v>
      </c>
      <c r="F5" s="406"/>
      <c r="G5" s="406"/>
      <c r="H5" s="406"/>
      <c r="I5" s="13" t="s">
        <v>299</v>
      </c>
      <c r="J5" s="13" t="s">
        <v>297</v>
      </c>
    </row>
    <row r="6" spans="1:10" x14ac:dyDescent="0.25">
      <c r="A6" s="9" t="s">
        <v>223</v>
      </c>
      <c r="B6" s="94">
        <v>0.1051</v>
      </c>
      <c r="C6" s="94">
        <v>0.12640000000000001</v>
      </c>
      <c r="D6" s="10">
        <v>0.15705</v>
      </c>
      <c r="E6" s="13">
        <v>9.4299999999999995E-2</v>
      </c>
      <c r="F6" s="99">
        <v>1.2399</v>
      </c>
      <c r="G6" s="112">
        <v>0.125</v>
      </c>
      <c r="H6" s="99">
        <v>2.3809999999999998</v>
      </c>
      <c r="I6" s="101">
        <f t="shared" ref="I6:J8" si="0">C6-B6</f>
        <v>2.1300000000000013E-2</v>
      </c>
      <c r="J6" s="113">
        <f t="shared" si="0"/>
        <v>3.0649999999999983E-2</v>
      </c>
    </row>
    <row r="7" spans="1:10" x14ac:dyDescent="0.25">
      <c r="A7" s="9" t="s">
        <v>246</v>
      </c>
      <c r="B7" s="10">
        <v>0.34799999999999998</v>
      </c>
      <c r="C7" s="94">
        <v>0.37609999999999999</v>
      </c>
      <c r="D7" s="10">
        <v>0.38155</v>
      </c>
      <c r="E7" s="13">
        <v>-3.9800000000000002E-2</v>
      </c>
      <c r="F7" s="99">
        <v>-0.52349999999999997</v>
      </c>
      <c r="G7" s="13">
        <v>-8.3000000000000001E-3</v>
      </c>
      <c r="H7" s="99">
        <v>-0.1575</v>
      </c>
      <c r="I7" s="102">
        <f t="shared" si="0"/>
        <v>2.8100000000000014E-2</v>
      </c>
      <c r="J7" s="114">
        <f t="shared" si="0"/>
        <v>5.4500000000000104E-3</v>
      </c>
    </row>
    <row r="8" spans="1:10" x14ac:dyDescent="0.25">
      <c r="A8" s="9" t="s">
        <v>224</v>
      </c>
      <c r="B8" s="94">
        <v>0.63749999999999996</v>
      </c>
      <c r="C8" s="94">
        <v>0.61119999999999997</v>
      </c>
      <c r="D8" s="10">
        <v>0.68320000000000003</v>
      </c>
      <c r="E8" s="13">
        <v>2.1600000000000001E-2</v>
      </c>
      <c r="F8" s="99">
        <v>0.28349999999999997</v>
      </c>
      <c r="G8" s="13">
        <v>-6.4199999999999993E-2</v>
      </c>
      <c r="H8" s="99">
        <v>-1.2235</v>
      </c>
      <c r="I8" s="103">
        <f t="shared" si="0"/>
        <v>-2.629999999999999E-2</v>
      </c>
      <c r="J8" s="115">
        <f>D8-C8</f>
        <v>7.2000000000000064E-2</v>
      </c>
    </row>
    <row r="9" spans="1:10" x14ac:dyDescent="0.25">
      <c r="A9" s="407" t="s">
        <v>220</v>
      </c>
      <c r="B9" s="407"/>
      <c r="C9" s="407"/>
      <c r="D9" s="16"/>
      <c r="E9" s="97">
        <f>SUM(E6:E8)</f>
        <v>7.6100000000000001E-2</v>
      </c>
      <c r="F9" s="100">
        <f>SUM(F6:F8)</f>
        <v>0.99990000000000001</v>
      </c>
      <c r="G9" s="14">
        <f>SUM(G6:G8)</f>
        <v>5.2500000000000005E-2</v>
      </c>
      <c r="H9" s="100">
        <f>SUM(H6:H8)</f>
        <v>0.99999999999999956</v>
      </c>
      <c r="I9" s="13"/>
      <c r="J9" s="13"/>
    </row>
    <row r="10" spans="1:10" x14ac:dyDescent="0.25">
      <c r="A10" s="9" t="s">
        <v>225</v>
      </c>
      <c r="B10" s="94">
        <v>0.77270000000000005</v>
      </c>
      <c r="C10" s="94">
        <v>0.77359999999999995</v>
      </c>
      <c r="D10" s="10">
        <v>0.82984999999999998</v>
      </c>
      <c r="E10" s="112">
        <v>1.2999999999999999E-4</v>
      </c>
      <c r="F10" s="99">
        <v>6.3E-3</v>
      </c>
      <c r="G10" s="112">
        <v>9.9100000000000004E-3</v>
      </c>
      <c r="H10" s="99">
        <v>0.32390000000000002</v>
      </c>
      <c r="I10" s="13"/>
      <c r="J10" s="13"/>
    </row>
    <row r="11" spans="1:10" x14ac:dyDescent="0.25">
      <c r="A11" s="9" t="s">
        <v>226</v>
      </c>
      <c r="B11" s="94">
        <v>0.13519999999999999</v>
      </c>
      <c r="C11" s="94">
        <v>0.16270000000000001</v>
      </c>
      <c r="D11" s="10">
        <v>0.18729000000000001</v>
      </c>
      <c r="E11" s="112">
        <v>2.1409999999999998E-2</v>
      </c>
      <c r="F11" s="99">
        <v>1.0047999999999999</v>
      </c>
      <c r="G11" s="112">
        <v>1.9859999999999999E-2</v>
      </c>
      <c r="H11" s="99">
        <v>0.64870000000000005</v>
      </c>
      <c r="I11" s="104">
        <f>C11-B11</f>
        <v>2.7500000000000024E-2</v>
      </c>
      <c r="J11" s="116">
        <f>D11-C11</f>
        <v>2.4590000000000001E-2</v>
      </c>
    </row>
    <row r="12" spans="1:10" x14ac:dyDescent="0.25">
      <c r="A12" s="9" t="s">
        <v>227</v>
      </c>
      <c r="B12" s="94">
        <v>0.99350000000000005</v>
      </c>
      <c r="C12" s="94">
        <v>0.99550000000000005</v>
      </c>
      <c r="D12" s="10">
        <v>0.98963000000000001</v>
      </c>
      <c r="E12" s="112">
        <v>-2.4000000000000001E-4</v>
      </c>
      <c r="F12" s="99">
        <v>-1.11E-2</v>
      </c>
      <c r="G12" s="112">
        <v>8.4000000000000003E-4</v>
      </c>
      <c r="H12" s="99">
        <v>2.7400000000000001E-2</v>
      </c>
      <c r="I12" s="13"/>
      <c r="J12" s="13"/>
    </row>
    <row r="13" spans="1:10" x14ac:dyDescent="0.25">
      <c r="A13" s="410" t="s">
        <v>296</v>
      </c>
      <c r="B13" s="410"/>
      <c r="C13" s="410"/>
      <c r="D13" s="15"/>
      <c r="E13" s="113">
        <f>SUM(E10:E12)</f>
        <v>2.1299999999999999E-2</v>
      </c>
      <c r="F13" s="100">
        <f>SUM(F10:F12)</f>
        <v>0.99999999999999989</v>
      </c>
      <c r="G13" s="113">
        <f>SUM(G10:G12)</f>
        <v>3.0609999999999998E-2</v>
      </c>
      <c r="H13" s="100">
        <f>SUM(H10:H12)</f>
        <v>1.0000000000000002</v>
      </c>
      <c r="I13" s="13"/>
      <c r="J13" s="13"/>
    </row>
    <row r="14" spans="1:10" x14ac:dyDescent="0.25">
      <c r="A14" s="9" t="s">
        <v>228</v>
      </c>
      <c r="B14" s="94">
        <v>7.0199999999999999E-2</v>
      </c>
      <c r="C14" s="94">
        <v>6.7799999999999999E-2</v>
      </c>
      <c r="D14" s="10">
        <v>6.6619999999999999E-2</v>
      </c>
      <c r="E14" s="13">
        <v>-2.3999999999999998E-3</v>
      </c>
      <c r="F14" s="99">
        <v>-8.6800000000000002E-2</v>
      </c>
      <c r="G14" s="13">
        <v>-1.1000000000000001E-3</v>
      </c>
      <c r="H14" s="99">
        <v>-0.20910000000000001</v>
      </c>
      <c r="I14" s="13"/>
      <c r="J14" s="13"/>
    </row>
    <row r="15" spans="1:10" x14ac:dyDescent="0.25">
      <c r="A15" s="9" t="s">
        <v>229</v>
      </c>
      <c r="B15" s="94">
        <v>0.27729999999999999</v>
      </c>
      <c r="C15" s="94">
        <v>0.30790000000000001</v>
      </c>
      <c r="D15" s="10">
        <v>0.31374999999999997</v>
      </c>
      <c r="E15" s="13">
        <v>3.0599999999999999E-2</v>
      </c>
      <c r="F15" s="99">
        <v>1.0866</v>
      </c>
      <c r="G15" s="13">
        <v>5.8999999999999999E-3</v>
      </c>
      <c r="H15" s="99">
        <v>1.085</v>
      </c>
      <c r="I15" s="13"/>
      <c r="J15" s="13"/>
    </row>
    <row r="16" spans="1:10" x14ac:dyDescent="0.25">
      <c r="A16" s="9" t="s">
        <v>230</v>
      </c>
      <c r="B16" s="94">
        <v>5.0000000000000001E-4</v>
      </c>
      <c r="C16" s="94">
        <v>5.0000000000000001E-4</v>
      </c>
      <c r="D16" s="10">
        <v>1.1800000000000001E-3</v>
      </c>
      <c r="E16" s="13">
        <v>0</v>
      </c>
      <c r="F16" s="99">
        <v>2.0000000000000001E-4</v>
      </c>
      <c r="G16" s="13">
        <v>6.9999999999999999E-4</v>
      </c>
      <c r="H16" s="99">
        <v>0.1241</v>
      </c>
      <c r="I16" s="13"/>
      <c r="J16" s="13"/>
    </row>
    <row r="17" spans="1:10" x14ac:dyDescent="0.25">
      <c r="A17" s="410" t="s">
        <v>296</v>
      </c>
      <c r="B17" s="410"/>
      <c r="C17" s="410"/>
      <c r="D17" s="15"/>
      <c r="E17" s="102">
        <f>SUM(E14:E16)</f>
        <v>2.8199999999999999E-2</v>
      </c>
      <c r="F17" s="100">
        <f>SUM(F14:F16)</f>
        <v>1</v>
      </c>
      <c r="G17" s="102">
        <f>SUM(G14:G16)</f>
        <v>5.4999999999999997E-3</v>
      </c>
      <c r="H17" s="100">
        <f>SUM(H14:H16)</f>
        <v>0.99999999999999989</v>
      </c>
      <c r="I17" s="13"/>
      <c r="J17" s="13"/>
    </row>
    <row r="18" spans="1:10" x14ac:dyDescent="0.25">
      <c r="A18" s="9" t="s">
        <v>231</v>
      </c>
      <c r="B18" s="94">
        <v>1.7585999999999999</v>
      </c>
      <c r="C18" s="94">
        <v>1.5722</v>
      </c>
      <c r="D18" s="10">
        <v>2.1565400000000001</v>
      </c>
      <c r="E18" s="13">
        <v>-7.0000000000000007E-2</v>
      </c>
      <c r="F18" s="99">
        <v>-2.6654</v>
      </c>
      <c r="G18" s="13">
        <v>0.20619999999999999</v>
      </c>
      <c r="H18" s="99">
        <v>2.8643999999999998</v>
      </c>
      <c r="I18" s="13"/>
      <c r="J18" s="13"/>
    </row>
    <row r="19" spans="1:10" x14ac:dyDescent="0.25">
      <c r="A19" s="9" t="s">
        <v>232</v>
      </c>
      <c r="B19" s="94">
        <v>0.36249999999999999</v>
      </c>
      <c r="C19" s="94">
        <v>0.38879999999999998</v>
      </c>
      <c r="D19" s="10">
        <v>0.31680000000000003</v>
      </c>
      <c r="E19" s="13">
        <v>4.3799999999999999E-2</v>
      </c>
      <c r="F19" s="99">
        <v>1.6654</v>
      </c>
      <c r="G19" s="13">
        <v>-0.13420000000000001</v>
      </c>
      <c r="H19" s="99">
        <v>-1.8644000000000001</v>
      </c>
      <c r="I19" s="13"/>
      <c r="J19" s="13"/>
    </row>
    <row r="20" spans="1:10" x14ac:dyDescent="0.25">
      <c r="A20" s="410" t="s">
        <v>296</v>
      </c>
      <c r="B20" s="410"/>
      <c r="C20" s="410"/>
      <c r="D20" s="15"/>
      <c r="E20" s="103">
        <f>SUM(E18:E19)</f>
        <v>-2.6200000000000008E-2</v>
      </c>
      <c r="F20" s="100">
        <f>SUM(F18:F19)</f>
        <v>-1</v>
      </c>
      <c r="G20" s="103">
        <f>SUM(G18:G19)</f>
        <v>7.1999999999999981E-2</v>
      </c>
      <c r="H20" s="100">
        <f>SUM(H18:H19)</f>
        <v>0.99999999999999978</v>
      </c>
      <c r="I20" s="13"/>
      <c r="J20" s="13"/>
    </row>
    <row r="21" spans="1:10" x14ac:dyDescent="0.25">
      <c r="A21" s="9" t="s">
        <v>265</v>
      </c>
      <c r="B21" s="95">
        <v>0.86480000000000001</v>
      </c>
      <c r="C21" s="95">
        <v>0.83730000000000004</v>
      </c>
      <c r="D21" s="11">
        <f>VZaS!E11/VZaS!E3</f>
        <v>0.81339872739414742</v>
      </c>
      <c r="E21" s="104">
        <f>(C21-B21)*-1</f>
        <v>2.7499999999999969E-2</v>
      </c>
      <c r="F21" s="104"/>
      <c r="G21" s="116">
        <f>(D21-C21)*-1</f>
        <v>2.3901272605852619E-2</v>
      </c>
      <c r="H21" s="104"/>
      <c r="I21" s="13"/>
      <c r="J21" s="13"/>
    </row>
    <row r="22" spans="1:10" x14ac:dyDescent="0.25">
      <c r="A22" s="407" t="s">
        <v>221</v>
      </c>
      <c r="B22" s="407"/>
      <c r="C22" s="407"/>
      <c r="D22" s="16"/>
      <c r="E22" s="13"/>
      <c r="F22" s="13"/>
      <c r="G22" s="13"/>
      <c r="H22" s="13"/>
      <c r="I22" s="13"/>
      <c r="J22" s="13"/>
    </row>
    <row r="23" spans="1:10" x14ac:dyDescent="0.25">
      <c r="A23" s="9" t="s">
        <v>233</v>
      </c>
      <c r="B23" s="94">
        <v>0.34689999999999999</v>
      </c>
      <c r="C23" s="94">
        <v>0.33550000000000002</v>
      </c>
      <c r="D23" s="10">
        <f>VZaS!E12/VZaS!E3</f>
        <v>0.35650429116406268</v>
      </c>
      <c r="E23" s="13">
        <f>(C23-B23)/-1</f>
        <v>1.1399999999999966E-2</v>
      </c>
      <c r="F23" s="99">
        <f>E23/E29</f>
        <v>0.41304347826086935</v>
      </c>
      <c r="G23" s="112">
        <f>(D23-C23)*-1</f>
        <v>-2.1004291164062661E-2</v>
      </c>
      <c r="H23" s="99">
        <f>G23/G29</f>
        <v>-0.87879384125008586</v>
      </c>
      <c r="I23" s="13"/>
      <c r="J23" s="13"/>
    </row>
    <row r="24" spans="1:10" x14ac:dyDescent="0.25">
      <c r="A24" s="9" t="s">
        <v>234</v>
      </c>
      <c r="B24" s="94">
        <v>0.20269999999999999</v>
      </c>
      <c r="C24" s="94">
        <v>0.19850000000000001</v>
      </c>
      <c r="D24" s="10">
        <f>VZaS!E13/VZaS!E3</f>
        <v>0.19264949579811491</v>
      </c>
      <c r="E24" s="13">
        <f t="shared" ref="E24:E28" si="1">(C24-B24)/-1</f>
        <v>4.1999999999999815E-3</v>
      </c>
      <c r="F24" s="99">
        <f>E24/E29</f>
        <v>0.15217391304347797</v>
      </c>
      <c r="G24" s="112">
        <f t="shared" ref="G24:G28" si="2">(D24-C24)*-1</f>
        <v>5.8505042018850983E-3</v>
      </c>
      <c r="H24" s="99">
        <f>G24/G29</f>
        <v>0.24477793707321299</v>
      </c>
      <c r="I24" s="13"/>
      <c r="J24" s="13"/>
    </row>
    <row r="25" spans="1:10" x14ac:dyDescent="0.25">
      <c r="A25" s="9" t="s">
        <v>235</v>
      </c>
      <c r="B25" s="94">
        <v>0.17249999999999999</v>
      </c>
      <c r="C25" s="94">
        <v>0.16259999999999999</v>
      </c>
      <c r="D25" s="10">
        <f>VZaS!E15/VZaS!E3</f>
        <v>0.13766436232551413</v>
      </c>
      <c r="E25" s="13">
        <f>(C25-B25)/-1</f>
        <v>9.8999999999999921E-3</v>
      </c>
      <c r="F25" s="99">
        <f>E25/E29</f>
        <v>0.35869565217391369</v>
      </c>
      <c r="G25" s="112">
        <f t="shared" si="2"/>
        <v>2.4935637674485867E-2</v>
      </c>
      <c r="H25" s="99">
        <f>G25/G29</f>
        <v>1.0432765688124899</v>
      </c>
      <c r="I25" s="13"/>
      <c r="J25" s="13"/>
    </row>
    <row r="26" spans="1:10" x14ac:dyDescent="0.25">
      <c r="A26" s="9" t="s">
        <v>236</v>
      </c>
      <c r="B26" s="94">
        <v>0.1215</v>
      </c>
      <c r="C26" s="94">
        <v>0.12330000000000001</v>
      </c>
      <c r="D26" s="10">
        <f>VZaS!E16/VZaS!E3</f>
        <v>0.10784531740444536</v>
      </c>
      <c r="E26" s="13">
        <f t="shared" si="1"/>
        <v>-1.8000000000000099E-3</v>
      </c>
      <c r="F26" s="99">
        <f>E26/E29</f>
        <v>-6.5217391304348352E-2</v>
      </c>
      <c r="G26" s="112">
        <f t="shared" si="2"/>
        <v>1.5454682595554645E-2</v>
      </c>
      <c r="H26" s="99">
        <f>G26/G29</f>
        <v>0.64660500929855591</v>
      </c>
      <c r="I26" s="13"/>
      <c r="J26" s="13"/>
    </row>
    <row r="27" spans="1:10" x14ac:dyDescent="0.25">
      <c r="A27" s="9" t="s">
        <v>237</v>
      </c>
      <c r="B27" s="94">
        <v>9.1999999999999998E-3</v>
      </c>
      <c r="C27" s="94">
        <v>7.9000000000000008E-3</v>
      </c>
      <c r="D27" s="10">
        <f>VZaS!E22/VZaS!E3</f>
        <v>8.4152469189242296E-3</v>
      </c>
      <c r="E27" s="13">
        <f t="shared" si="1"/>
        <v>1.2999999999999991E-3</v>
      </c>
      <c r="F27" s="99">
        <f>E27/E29</f>
        <v>4.7101449275362403E-2</v>
      </c>
      <c r="G27" s="112">
        <f t="shared" si="2"/>
        <v>-5.1524691892422883E-4</v>
      </c>
      <c r="H27" s="99">
        <f>G27/G29</f>
        <v>-2.1557300626664642E-2</v>
      </c>
      <c r="I27" s="13"/>
      <c r="J27" s="13"/>
    </row>
    <row r="28" spans="1:10" x14ac:dyDescent="0.25">
      <c r="A28" s="9" t="s">
        <v>238</v>
      </c>
      <c r="B28" s="94">
        <v>1.21E-2</v>
      </c>
      <c r="C28" s="94">
        <v>9.4999999999999998E-3</v>
      </c>
      <c r="D28" s="10">
        <f>(VZaS!E14+VZaS!E21+VZaS!E25+VZaS!E26+VZaS!E27)/VZaS!E3</f>
        <v>1.0320013783086113E-2</v>
      </c>
      <c r="E28" s="13">
        <f t="shared" si="1"/>
        <v>2.5999999999999999E-3</v>
      </c>
      <c r="F28" s="99">
        <f>E28/E29</f>
        <v>9.4202898550724876E-2</v>
      </c>
      <c r="G28" s="112">
        <f t="shared" si="2"/>
        <v>-8.2001378308611296E-4</v>
      </c>
      <c r="H28" s="99">
        <f>G28/G29</f>
        <v>-3.4308373307508307E-2</v>
      </c>
      <c r="I28" s="13"/>
      <c r="J28" s="13"/>
    </row>
    <row r="29" spans="1:10" x14ac:dyDescent="0.25">
      <c r="A29" s="15" t="s">
        <v>296</v>
      </c>
      <c r="B29" s="96">
        <v>0.86480000000000001</v>
      </c>
      <c r="C29" s="96">
        <v>0.83730000000000004</v>
      </c>
      <c r="D29" s="12">
        <f>SUM(D23:D28)</f>
        <v>0.81339872739414754</v>
      </c>
      <c r="E29" s="104">
        <f>SUM(E23:E28)</f>
        <v>2.759999999999993E-2</v>
      </c>
      <c r="F29" s="105">
        <f>SUM(F23:F28)</f>
        <v>0.99999999999999989</v>
      </c>
      <c r="G29" s="116">
        <f>SUM(G23:G28)</f>
        <v>2.3901272605852605E-2</v>
      </c>
      <c r="H29" s="105">
        <f>SUM(H23:H28)</f>
        <v>0.99999999999999967</v>
      </c>
      <c r="I29" s="13"/>
      <c r="J29" s="13"/>
    </row>
    <row r="30" spans="1:10" x14ac:dyDescent="0.25">
      <c r="A30" s="9" t="s">
        <v>240</v>
      </c>
      <c r="B30" s="10">
        <v>1E-4</v>
      </c>
      <c r="C30" s="10">
        <v>0</v>
      </c>
      <c r="D30" s="10">
        <f>'PR - simulácia'!C29</f>
        <v>0</v>
      </c>
      <c r="E30" s="112">
        <f>C30-B30</f>
        <v>-1E-4</v>
      </c>
      <c r="F30" s="99">
        <f>E30/E37</f>
        <v>-3.5714285714285696E-3</v>
      </c>
      <c r="G30" s="112">
        <f>D30-C30</f>
        <v>0</v>
      </c>
      <c r="H30" s="99">
        <f>G30/G37</f>
        <v>0</v>
      </c>
      <c r="I30" s="13"/>
      <c r="J30" s="13"/>
    </row>
    <row r="31" spans="1:10" x14ac:dyDescent="0.25">
      <c r="A31" s="9" t="s">
        <v>239</v>
      </c>
      <c r="B31" s="10">
        <v>7.0099999999999996E-2</v>
      </c>
      <c r="C31" s="10">
        <v>6.7699999999999996E-2</v>
      </c>
      <c r="D31" s="10">
        <f>'PR - simulácia'!C30</f>
        <v>6.6620726264311037E-2</v>
      </c>
      <c r="E31" s="112">
        <f t="shared" ref="E31:E36" si="3">C31-B31</f>
        <v>-2.3999999999999994E-3</v>
      </c>
      <c r="F31" s="99">
        <f>E31/E37</f>
        <v>-8.5714285714285646E-2</v>
      </c>
      <c r="G31" s="112">
        <f>D31-C31</f>
        <v>-1.0792737356889598E-3</v>
      </c>
      <c r="H31" s="99">
        <f>G31/G37</f>
        <v>-0.2215482132084686</v>
      </c>
      <c r="I31" s="13"/>
      <c r="J31" s="13"/>
    </row>
    <row r="32" spans="1:10" x14ac:dyDescent="0.25">
      <c r="A32" s="9" t="s">
        <v>241</v>
      </c>
      <c r="B32" s="10">
        <v>0</v>
      </c>
      <c r="C32" s="10">
        <v>0</v>
      </c>
      <c r="D32" s="10">
        <f>'PR - simulácia'!C31</f>
        <v>0</v>
      </c>
      <c r="E32" s="112">
        <f t="shared" si="3"/>
        <v>0</v>
      </c>
      <c r="F32" s="99">
        <f>E32/E37</f>
        <v>0</v>
      </c>
      <c r="G32" s="112">
        <f t="shared" ref="G32:G36" si="4">D32-C32</f>
        <v>0</v>
      </c>
      <c r="H32" s="99">
        <f>G32/G37</f>
        <v>0</v>
      </c>
      <c r="I32" s="13"/>
      <c r="J32" s="13"/>
    </row>
    <row r="33" spans="1:10" x14ac:dyDescent="0.25">
      <c r="A33" s="9" t="s">
        <v>242</v>
      </c>
      <c r="B33" s="94">
        <v>8.0699999999999994E-2</v>
      </c>
      <c r="C33" s="94">
        <v>5.4600000000000003E-2</v>
      </c>
      <c r="D33" s="10">
        <f>'PR - simulácia'!C32</f>
        <v>7.0930668060710703E-2</v>
      </c>
      <c r="E33" s="112">
        <f t="shared" si="3"/>
        <v>-2.6099999999999991E-2</v>
      </c>
      <c r="F33" s="99">
        <f>E33/E37</f>
        <v>-0.93214285714285638</v>
      </c>
      <c r="G33" s="112">
        <f t="shared" si="4"/>
        <v>1.63306680607107E-2</v>
      </c>
      <c r="H33" s="99">
        <f>G33/G37</f>
        <v>3.352282381856976</v>
      </c>
      <c r="I33" s="13"/>
      <c r="J33" s="13"/>
    </row>
    <row r="34" spans="1:10" x14ac:dyDescent="0.25">
      <c r="A34" s="9" t="s">
        <v>243</v>
      </c>
      <c r="B34" s="94">
        <v>2.9999999999999997E-4</v>
      </c>
      <c r="C34" s="94">
        <v>2.9999999999999997E-4</v>
      </c>
      <c r="D34" s="10">
        <f>'PR - simulácia'!C33</f>
        <v>1.6335891038578617E-3</v>
      </c>
      <c r="E34" s="112">
        <f t="shared" si="3"/>
        <v>0</v>
      </c>
      <c r="F34" s="99">
        <f>E34/E37</f>
        <v>0</v>
      </c>
      <c r="G34" s="112">
        <f t="shared" si="4"/>
        <v>1.3335891038578618E-3</v>
      </c>
      <c r="H34" s="99">
        <f>G34/G37</f>
        <v>0.27375287042020663</v>
      </c>
      <c r="I34" s="13"/>
      <c r="J34" s="13"/>
    </row>
    <row r="35" spans="1:10" x14ac:dyDescent="0.25">
      <c r="A35" s="9" t="s">
        <v>244</v>
      </c>
      <c r="B35" s="94">
        <v>0.13489999999999999</v>
      </c>
      <c r="C35" s="94">
        <v>0.18820000000000001</v>
      </c>
      <c r="D35" s="10">
        <f>'PR - simulácia'!C34</f>
        <v>0.17884112138662009</v>
      </c>
      <c r="E35" s="112">
        <f t="shared" si="3"/>
        <v>5.3300000000000014E-2</v>
      </c>
      <c r="F35" s="99">
        <f>E35/E37</f>
        <v>1.903571428571428</v>
      </c>
      <c r="G35" s="112">
        <f t="shared" si="4"/>
        <v>-9.3588786133799173E-3</v>
      </c>
      <c r="H35" s="99">
        <f>G35/G37</f>
        <v>-1.9211463837815699</v>
      </c>
      <c r="I35" s="13"/>
      <c r="J35" s="13"/>
    </row>
    <row r="36" spans="1:10" x14ac:dyDescent="0.25">
      <c r="A36" s="9" t="s">
        <v>245</v>
      </c>
      <c r="B36" s="94">
        <v>6.1400000000000003E-2</v>
      </c>
      <c r="C36" s="94">
        <v>6.4699999999999994E-2</v>
      </c>
      <c r="D36" s="10">
        <f>'PR - simulácia'!C35</f>
        <v>6.2345402474308163E-2</v>
      </c>
      <c r="E36" s="112">
        <f t="shared" si="3"/>
        <v>3.2999999999999904E-3</v>
      </c>
      <c r="F36" s="99">
        <f>E36/E37</f>
        <v>0.11785714285714245</v>
      </c>
      <c r="G36" s="112">
        <f t="shared" si="4"/>
        <v>-2.3545975256918303E-3</v>
      </c>
      <c r="H36" s="99">
        <f>G36/G37</f>
        <v>-0.48334065528714454</v>
      </c>
      <c r="I36" s="13"/>
      <c r="J36" s="13"/>
    </row>
    <row r="37" spans="1:10" x14ac:dyDescent="0.25">
      <c r="A37" s="409" t="s">
        <v>296</v>
      </c>
      <c r="B37" s="409"/>
      <c r="C37" s="409"/>
      <c r="D37" s="111"/>
      <c r="E37" s="114">
        <f>SUM(E30:E36)</f>
        <v>2.8000000000000014E-2</v>
      </c>
      <c r="F37" s="106">
        <f>SUM(F30:F36)</f>
        <v>0.99999999999999978</v>
      </c>
      <c r="G37" s="114">
        <f>SUM(G30:G36)</f>
        <v>4.8715072898078554E-3</v>
      </c>
      <c r="H37" s="106">
        <f>SUM(H30:H36)</f>
        <v>0.99999999999999967</v>
      </c>
      <c r="I37" s="13"/>
      <c r="J37" s="13"/>
    </row>
  </sheetData>
  <mergeCells count="10">
    <mergeCell ref="E5:H5"/>
    <mergeCell ref="A22:C22"/>
    <mergeCell ref="A37:C37"/>
    <mergeCell ref="B1:C1"/>
    <mergeCell ref="A3:C3"/>
    <mergeCell ref="A5:C5"/>
    <mergeCell ref="A9:C9"/>
    <mergeCell ref="A13:C13"/>
    <mergeCell ref="A17:C17"/>
    <mergeCell ref="A20:C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2612F-756C-4276-AD18-90348F04F66D}">
  <sheetPr>
    <tabColor theme="9" tint="-0.499984740745262"/>
  </sheetPr>
  <dimension ref="A1:AG113"/>
  <sheetViews>
    <sheetView zoomScaleNormal="100" workbookViewId="0">
      <selection activeCell="L12" sqref="L12"/>
    </sheetView>
  </sheetViews>
  <sheetFormatPr defaultRowHeight="15" outlineLevelCol="1" x14ac:dyDescent="0.25"/>
  <cols>
    <col min="2" max="2" width="56.5703125" bestFit="1" customWidth="1"/>
    <col min="3" max="4" width="9.7109375" customWidth="1" outlineLevel="1"/>
    <col min="5" max="5" width="9.7109375" bestFit="1" customWidth="1"/>
    <col min="6" max="8" width="9.140625" hidden="1" customWidth="1" outlineLevel="1"/>
    <col min="9" max="9" width="9.28515625" bestFit="1" customWidth="1" collapsed="1"/>
    <col min="10" max="10" width="11" bestFit="1" customWidth="1"/>
    <col min="11" max="11" width="13.28515625" bestFit="1" customWidth="1" outlineLevel="1"/>
    <col min="12" max="12" width="35.85546875" bestFit="1" customWidth="1" outlineLevel="1"/>
    <col min="13" max="13" width="21.85546875" bestFit="1" customWidth="1" outlineLevel="1"/>
    <col min="14" max="18" width="12.5703125" customWidth="1" outlineLevel="1"/>
    <col min="19" max="22" width="11" customWidth="1" outlineLevel="1"/>
    <col min="23" max="23" width="9.140625" style="5"/>
    <col min="26" max="31" width="16.28515625" bestFit="1" customWidth="1"/>
    <col min="32" max="33" width="11" bestFit="1" customWidth="1"/>
  </cols>
  <sheetData>
    <row r="1" spans="1:33" ht="15.75" thickBot="1" x14ac:dyDescent="0.3">
      <c r="A1" s="20"/>
      <c r="B1" s="284" t="s">
        <v>11</v>
      </c>
      <c r="C1" s="279">
        <v>2018</v>
      </c>
      <c r="D1" s="280">
        <v>2019</v>
      </c>
      <c r="E1" s="280">
        <v>2020</v>
      </c>
      <c r="F1" s="285" t="s">
        <v>268</v>
      </c>
      <c r="G1" s="286" t="s">
        <v>267</v>
      </c>
      <c r="H1" s="286" t="s">
        <v>269</v>
      </c>
      <c r="I1" s="281">
        <v>2021</v>
      </c>
      <c r="J1" s="280" t="s">
        <v>305</v>
      </c>
      <c r="K1" s="22"/>
      <c r="P1" s="188"/>
      <c r="Q1" s="188"/>
      <c r="R1" s="188"/>
      <c r="S1" s="188"/>
      <c r="T1" s="188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</row>
    <row r="2" spans="1:33" ht="16.5" thickBot="1" x14ac:dyDescent="0.3">
      <c r="A2" s="210"/>
      <c r="B2" s="211" t="s">
        <v>12</v>
      </c>
      <c r="C2" s="212">
        <v>9124849</v>
      </c>
      <c r="D2" s="213">
        <v>8770194</v>
      </c>
      <c r="E2" s="213">
        <v>10828574</v>
      </c>
      <c r="F2" s="214">
        <f>E2/D2</f>
        <v>1.2347017637238127</v>
      </c>
      <c r="G2" s="215">
        <f>D2/C2</f>
        <v>0.96113305546206851</v>
      </c>
      <c r="H2" s="216">
        <f>AVERAGE(F2:G2)</f>
        <v>1.0979174095929407</v>
      </c>
      <c r="I2" s="217">
        <v>11021744</v>
      </c>
      <c r="J2" s="217">
        <f>J3+J12+J32</f>
        <v>11699050.605481775</v>
      </c>
      <c r="K2" s="22"/>
      <c r="M2" s="411" t="s">
        <v>270</v>
      </c>
      <c r="N2" s="412"/>
      <c r="O2" s="413"/>
      <c r="P2" s="202"/>
      <c r="Q2" s="202"/>
      <c r="R2" s="202"/>
      <c r="S2" s="202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</row>
    <row r="3" spans="1:33" ht="15.75" thickBot="1" x14ac:dyDescent="0.3">
      <c r="A3" s="246" t="s">
        <v>306</v>
      </c>
      <c r="B3" s="247" t="s">
        <v>13</v>
      </c>
      <c r="C3" s="248">
        <v>1865710</v>
      </c>
      <c r="D3" s="249">
        <v>1769333</v>
      </c>
      <c r="E3" s="249">
        <v>1950654</v>
      </c>
      <c r="F3" s="250">
        <f>E3/D3</f>
        <v>1.1024798610549851</v>
      </c>
      <c r="G3" s="251">
        <f>D3/C3</f>
        <v>0.94834299006812417</v>
      </c>
      <c r="H3" s="251">
        <f t="shared" ref="H3:H32" si="0">AVERAGE(F3:G3)</f>
        <v>1.0254114255615545</v>
      </c>
      <c r="I3" s="252">
        <v>1924453</v>
      </c>
      <c r="J3" s="252">
        <f>J4+J6</f>
        <v>2014156</v>
      </c>
      <c r="K3" s="22"/>
      <c r="M3" s="287"/>
      <c r="N3" s="288">
        <v>2021</v>
      </c>
      <c r="O3" s="289" t="s">
        <v>305</v>
      </c>
      <c r="P3" s="188"/>
      <c r="Q3" s="188"/>
      <c r="R3" s="188"/>
      <c r="S3" s="188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</row>
    <row r="4" spans="1:33" x14ac:dyDescent="0.25">
      <c r="A4" s="210" t="s">
        <v>307</v>
      </c>
      <c r="B4" s="218" t="s">
        <v>14</v>
      </c>
      <c r="C4" s="219">
        <v>6197</v>
      </c>
      <c r="D4" s="220">
        <v>3580</v>
      </c>
      <c r="E4" s="220">
        <v>963</v>
      </c>
      <c r="F4" s="221">
        <f>E4/D4</f>
        <v>0.26899441340782121</v>
      </c>
      <c r="G4" s="222">
        <f>D4/C4</f>
        <v>0.57769888655801194</v>
      </c>
      <c r="H4" s="223">
        <f t="shared" si="0"/>
        <v>0.4233466499829166</v>
      </c>
      <c r="I4" s="224">
        <v>0</v>
      </c>
      <c r="J4" s="224">
        <v>0</v>
      </c>
      <c r="K4" s="22"/>
      <c r="M4" s="290" t="s">
        <v>271</v>
      </c>
      <c r="N4" s="292">
        <f>$I$66</f>
        <v>28886746</v>
      </c>
      <c r="O4" s="293">
        <f>$J$66</f>
        <v>30210148.110000003</v>
      </c>
      <c r="P4" s="188"/>
      <c r="Q4" s="188"/>
      <c r="R4" s="188"/>
      <c r="S4" s="188"/>
      <c r="T4" s="190"/>
      <c r="U4" s="190"/>
      <c r="V4" s="203"/>
      <c r="W4" s="204"/>
      <c r="X4" s="204"/>
      <c r="Y4" s="204"/>
      <c r="Z4" s="196"/>
      <c r="AA4" s="196"/>
      <c r="AB4" s="196"/>
      <c r="AC4" s="196"/>
      <c r="AD4" s="196"/>
      <c r="AE4" s="190"/>
      <c r="AF4" s="190"/>
      <c r="AG4" s="190"/>
    </row>
    <row r="5" spans="1:33" x14ac:dyDescent="0.25">
      <c r="A5" s="225" t="s">
        <v>308</v>
      </c>
      <c r="B5" s="226" t="s">
        <v>16</v>
      </c>
      <c r="C5" s="227">
        <v>6197</v>
      </c>
      <c r="D5" s="85">
        <v>3580</v>
      </c>
      <c r="E5" s="85">
        <v>963</v>
      </c>
      <c r="F5" s="228">
        <f>E5/D5</f>
        <v>0.26899441340782121</v>
      </c>
      <c r="G5" s="229">
        <f>D5/C5</f>
        <v>0.57769888655801194</v>
      </c>
      <c r="H5" s="230">
        <f t="shared" si="0"/>
        <v>0.4233466499829166</v>
      </c>
      <c r="I5" s="231"/>
      <c r="J5" s="231"/>
      <c r="K5" s="22"/>
      <c r="L5" s="6"/>
      <c r="M5" s="290" t="s">
        <v>272</v>
      </c>
      <c r="N5" s="294">
        <v>17</v>
      </c>
      <c r="O5" s="295"/>
      <c r="P5" s="188"/>
      <c r="Q5" s="188"/>
      <c r="R5" s="188"/>
      <c r="S5" s="188"/>
      <c r="T5" s="190"/>
      <c r="U5" s="190"/>
      <c r="V5" s="190"/>
      <c r="W5" s="196"/>
      <c r="X5" s="196"/>
      <c r="Y5" s="196"/>
      <c r="Z5" s="196"/>
      <c r="AA5" s="196"/>
      <c r="AB5" s="196"/>
      <c r="AC5" s="196"/>
      <c r="AD5" s="196"/>
      <c r="AE5" s="190"/>
      <c r="AF5" s="190"/>
      <c r="AG5" s="190"/>
    </row>
    <row r="6" spans="1:33" x14ac:dyDescent="0.25">
      <c r="A6" s="210" t="s">
        <v>309</v>
      </c>
      <c r="B6" s="232" t="s">
        <v>22</v>
      </c>
      <c r="C6" s="233">
        <v>1859513</v>
      </c>
      <c r="D6" s="234">
        <v>1765753</v>
      </c>
      <c r="E6" s="234">
        <v>1949691</v>
      </c>
      <c r="F6" s="228">
        <f>E6/D6</f>
        <v>1.1041697224923304</v>
      </c>
      <c r="G6" s="229">
        <f>D6/C6</f>
        <v>0.94957819601153637</v>
      </c>
      <c r="H6" s="230">
        <f t="shared" si="0"/>
        <v>1.0268739592519334</v>
      </c>
      <c r="I6" s="235">
        <v>1924453</v>
      </c>
      <c r="J6" s="234">
        <f>2397893-383737</f>
        <v>2014156</v>
      </c>
      <c r="K6" s="22"/>
      <c r="M6" s="290" t="s">
        <v>273</v>
      </c>
      <c r="N6" s="296">
        <f>($N$5*N4)/360</f>
        <v>1364096.3388888889</v>
      </c>
      <c r="O6" s="297">
        <f>($N$5*O4)/360</f>
        <v>1426590.3274166668</v>
      </c>
      <c r="P6" s="188"/>
      <c r="Q6" s="188"/>
      <c r="R6" s="188"/>
      <c r="S6" s="188"/>
      <c r="T6" s="190"/>
      <c r="U6" s="190"/>
      <c r="V6" s="190"/>
      <c r="W6" s="205"/>
      <c r="X6" s="205"/>
      <c r="Y6" s="205"/>
      <c r="Z6" s="205"/>
      <c r="AA6" s="205"/>
      <c r="AB6" s="205"/>
      <c r="AC6" s="205"/>
      <c r="AD6" s="205"/>
      <c r="AE6" s="190"/>
      <c r="AF6" s="190"/>
      <c r="AG6" s="190"/>
    </row>
    <row r="7" spans="1:33" x14ac:dyDescent="0.25">
      <c r="A7" s="225" t="s">
        <v>308</v>
      </c>
      <c r="B7" s="226" t="s">
        <v>24</v>
      </c>
      <c r="C7" s="227"/>
      <c r="D7" s="85"/>
      <c r="E7" s="85">
        <v>21761</v>
      </c>
      <c r="F7" s="85">
        <v>0</v>
      </c>
      <c r="G7" s="85"/>
      <c r="H7" s="85">
        <f t="shared" si="0"/>
        <v>0</v>
      </c>
      <c r="I7" s="85">
        <v>707182</v>
      </c>
      <c r="J7" s="85">
        <f>I7-318</f>
        <v>706864</v>
      </c>
      <c r="K7" s="22">
        <f>I7/I6</f>
        <v>0.36747169195610391</v>
      </c>
      <c r="M7" s="290" t="s">
        <v>274</v>
      </c>
      <c r="N7" s="294">
        <v>57</v>
      </c>
      <c r="O7" s="295"/>
      <c r="P7" s="188"/>
      <c r="Q7" s="188"/>
      <c r="R7" s="188"/>
      <c r="S7" s="188"/>
      <c r="T7" s="190"/>
      <c r="U7" s="190"/>
      <c r="V7" s="190"/>
      <c r="W7" s="196"/>
      <c r="X7" s="196"/>
      <c r="Y7" s="196"/>
      <c r="Z7" s="196"/>
      <c r="AA7" s="196"/>
      <c r="AB7" s="196"/>
      <c r="AC7" s="196"/>
      <c r="AD7" s="196"/>
      <c r="AE7" s="190"/>
      <c r="AF7" s="190"/>
      <c r="AG7" s="190"/>
    </row>
    <row r="8" spans="1:33" x14ac:dyDescent="0.25">
      <c r="A8" s="236" t="s">
        <v>310</v>
      </c>
      <c r="B8" s="237" t="s">
        <v>25</v>
      </c>
      <c r="C8" s="238">
        <v>1009130</v>
      </c>
      <c r="D8" s="82">
        <v>918142</v>
      </c>
      <c r="E8" s="82">
        <v>1238701</v>
      </c>
      <c r="F8" s="82">
        <f t="shared" ref="F8:F26" si="1">E8/D8</f>
        <v>1.349138804237253</v>
      </c>
      <c r="G8" s="82">
        <f>D8/C8</f>
        <v>0.90983520458216482</v>
      </c>
      <c r="H8" s="82">
        <f t="shared" si="0"/>
        <v>1.129487004409709</v>
      </c>
      <c r="I8" s="82">
        <v>1129586</v>
      </c>
      <c r="J8" s="82">
        <v>1035231</v>
      </c>
      <c r="K8" s="22">
        <f>I8/I7</f>
        <v>1.5973059269042482</v>
      </c>
      <c r="M8" s="290" t="s">
        <v>275</v>
      </c>
      <c r="N8" s="298">
        <f>($N$7*N4)/360</f>
        <v>4573734.7833333332</v>
      </c>
      <c r="O8" s="299">
        <f>($N$7*O4)/360</f>
        <v>4783273.4507500008</v>
      </c>
      <c r="P8" s="188"/>
      <c r="Q8" s="188"/>
      <c r="R8" s="188"/>
      <c r="S8" s="188"/>
      <c r="T8" s="190"/>
      <c r="U8" s="190"/>
      <c r="V8" s="190"/>
      <c r="W8" s="205"/>
      <c r="X8" s="205"/>
      <c r="Y8" s="205"/>
      <c r="Z8" s="205"/>
      <c r="AA8" s="205"/>
      <c r="AB8" s="205"/>
      <c r="AC8" s="205"/>
      <c r="AD8" s="205"/>
      <c r="AE8" s="190"/>
      <c r="AF8" s="190"/>
      <c r="AG8" s="190"/>
    </row>
    <row r="9" spans="1:33" x14ac:dyDescent="0.25">
      <c r="A9" s="236" t="s">
        <v>311</v>
      </c>
      <c r="B9" s="237" t="s">
        <v>28</v>
      </c>
      <c r="C9" s="238">
        <v>809671</v>
      </c>
      <c r="D9" s="82">
        <v>764786</v>
      </c>
      <c r="E9" s="82">
        <v>686907</v>
      </c>
      <c r="F9" s="82">
        <f t="shared" si="1"/>
        <v>0.89816889953529488</v>
      </c>
      <c r="G9" s="82">
        <f>D9/C9</f>
        <v>0.94456390311620397</v>
      </c>
      <c r="H9" s="82">
        <f t="shared" si="0"/>
        <v>0.92136640132574943</v>
      </c>
      <c r="I9" s="82">
        <v>606824</v>
      </c>
      <c r="J9" s="82">
        <v>526741</v>
      </c>
      <c r="K9" s="22">
        <f>I9/I8</f>
        <v>0.53720920762119928</v>
      </c>
      <c r="M9" s="290" t="s">
        <v>312</v>
      </c>
      <c r="N9" s="294">
        <v>20</v>
      </c>
      <c r="O9" s="295"/>
      <c r="P9" s="188"/>
      <c r="Q9" s="188"/>
      <c r="R9" s="188"/>
      <c r="S9" s="188"/>
      <c r="T9" s="190"/>
      <c r="U9" s="190"/>
      <c r="V9" s="190"/>
      <c r="W9" s="193"/>
      <c r="X9" s="193"/>
      <c r="Y9" s="193"/>
      <c r="Z9" s="190"/>
      <c r="AA9" s="190"/>
      <c r="AB9" s="190"/>
      <c r="AC9" s="190"/>
      <c r="AD9" s="190"/>
      <c r="AE9" s="190"/>
      <c r="AF9" s="190"/>
      <c r="AG9" s="190"/>
    </row>
    <row r="10" spans="1:33" x14ac:dyDescent="0.25">
      <c r="A10" s="225" t="s">
        <v>313</v>
      </c>
      <c r="B10" s="226" t="s">
        <v>29</v>
      </c>
      <c r="C10" s="227">
        <v>40712</v>
      </c>
      <c r="D10" s="85">
        <v>27025</v>
      </c>
      <c r="E10" s="85">
        <v>2322</v>
      </c>
      <c r="F10" s="85">
        <f t="shared" si="1"/>
        <v>8.5920444033302498E-2</v>
      </c>
      <c r="G10" s="85">
        <f>D10/C10</f>
        <v>0.66380919630575752</v>
      </c>
      <c r="H10" s="85">
        <f t="shared" si="0"/>
        <v>0.37486482016952999</v>
      </c>
      <c r="I10" s="85">
        <v>0</v>
      </c>
      <c r="J10" s="85">
        <v>68800</v>
      </c>
      <c r="K10" s="22">
        <f>I10/I9</f>
        <v>0</v>
      </c>
      <c r="L10" s="6"/>
      <c r="M10" s="291" t="s">
        <v>314</v>
      </c>
      <c r="N10" s="300">
        <f>($N$9*N4)/360</f>
        <v>1604819.2222222222</v>
      </c>
      <c r="O10" s="301">
        <f>($N$9*O4)/360</f>
        <v>1678341.5616666668</v>
      </c>
      <c r="P10" s="188"/>
      <c r="Q10" s="188"/>
      <c r="R10" s="188"/>
      <c r="S10" s="188"/>
      <c r="T10" s="190"/>
      <c r="U10" s="190"/>
      <c r="V10" s="190"/>
      <c r="W10" s="193"/>
      <c r="X10" s="193"/>
      <c r="Y10" s="190"/>
      <c r="Z10" s="206"/>
      <c r="AA10" s="206"/>
      <c r="AB10" s="206"/>
      <c r="AC10" s="206"/>
      <c r="AD10" s="206"/>
      <c r="AE10" s="190"/>
      <c r="AF10" s="190"/>
      <c r="AG10" s="190"/>
    </row>
    <row r="11" spans="1:33" ht="15.75" thickBot="1" x14ac:dyDescent="0.3">
      <c r="A11" s="225" t="s">
        <v>315</v>
      </c>
      <c r="B11" s="226" t="s">
        <v>30</v>
      </c>
      <c r="C11" s="227"/>
      <c r="D11" s="85">
        <v>55800</v>
      </c>
      <c r="E11" s="85">
        <v>0</v>
      </c>
      <c r="F11" s="85">
        <f t="shared" si="1"/>
        <v>0</v>
      </c>
      <c r="G11" s="85">
        <v>0</v>
      </c>
      <c r="H11" s="85">
        <f t="shared" si="0"/>
        <v>0</v>
      </c>
      <c r="I11" s="85">
        <v>87685</v>
      </c>
      <c r="J11" s="85">
        <f>J6-J7-J8-J9-J10</f>
        <v>-323480</v>
      </c>
      <c r="K11" s="22"/>
      <c r="P11" s="188"/>
      <c r="Q11" s="188"/>
      <c r="R11" s="188"/>
      <c r="S11" s="188"/>
      <c r="T11" s="190"/>
      <c r="U11" s="190"/>
      <c r="V11" s="190"/>
      <c r="W11" s="190"/>
      <c r="X11" s="190"/>
      <c r="Y11" s="190"/>
      <c r="Z11" s="190"/>
      <c r="AA11" s="190"/>
      <c r="AB11" s="190"/>
      <c r="AC11" s="206"/>
      <c r="AD11" s="193"/>
      <c r="AE11" s="193"/>
      <c r="AF11" s="193"/>
      <c r="AG11" s="193"/>
    </row>
    <row r="12" spans="1:33" ht="15.75" thickBot="1" x14ac:dyDescent="0.3">
      <c r="A12" s="246" t="s">
        <v>316</v>
      </c>
      <c r="B12" s="247" t="s">
        <v>44</v>
      </c>
      <c r="C12" s="248">
        <v>7247204</v>
      </c>
      <c r="D12" s="249">
        <v>6988247</v>
      </c>
      <c r="E12" s="249">
        <v>8863348</v>
      </c>
      <c r="F12" s="250">
        <f t="shared" si="1"/>
        <v>1.2683220842079566</v>
      </c>
      <c r="G12" s="251">
        <f t="shared" ref="G12:G24" si="2">D12/C12</f>
        <v>0.96426801287779396</v>
      </c>
      <c r="H12" s="251">
        <f t="shared" si="0"/>
        <v>1.1162950485428753</v>
      </c>
      <c r="I12" s="252">
        <v>9063225</v>
      </c>
      <c r="J12" s="252">
        <f>J13+J18+J21+J29</f>
        <v>9651509.9254817758</v>
      </c>
      <c r="K12" s="22"/>
      <c r="L12" s="4"/>
      <c r="P12" s="188"/>
      <c r="Q12" s="188"/>
      <c r="R12" s="188"/>
      <c r="S12" s="188"/>
      <c r="T12" s="188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</row>
    <row r="13" spans="1:33" x14ac:dyDescent="0.25">
      <c r="A13" s="210" t="s">
        <v>317</v>
      </c>
      <c r="B13" s="218" t="s">
        <v>45</v>
      </c>
      <c r="C13" s="219">
        <v>2130014</v>
      </c>
      <c r="D13" s="220">
        <v>2033444</v>
      </c>
      <c r="E13" s="220">
        <v>1572406</v>
      </c>
      <c r="F13" s="221">
        <f t="shared" si="1"/>
        <v>0.77327233993166278</v>
      </c>
      <c r="G13" s="222">
        <f t="shared" si="2"/>
        <v>0.95466226982545654</v>
      </c>
      <c r="H13" s="223">
        <f t="shared" si="0"/>
        <v>0.86396730487855966</v>
      </c>
      <c r="I13" s="224">
        <v>2048953</v>
      </c>
      <c r="J13" s="224">
        <f>O6</f>
        <v>1426590.3274166668</v>
      </c>
      <c r="K13" s="22"/>
      <c r="N13" s="4"/>
      <c r="P13" s="188"/>
      <c r="Q13" s="188"/>
      <c r="R13" s="188"/>
      <c r="S13" s="188"/>
      <c r="T13" s="188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</row>
    <row r="14" spans="1:33" x14ac:dyDescent="0.25">
      <c r="A14" s="225" t="s">
        <v>318</v>
      </c>
      <c r="B14" s="226" t="s">
        <v>46</v>
      </c>
      <c r="C14" s="227">
        <v>1150583</v>
      </c>
      <c r="D14" s="85">
        <v>906581</v>
      </c>
      <c r="E14" s="85">
        <v>905266</v>
      </c>
      <c r="F14" s="228">
        <f t="shared" si="1"/>
        <v>0.9985494953015781</v>
      </c>
      <c r="G14" s="229">
        <f t="shared" si="2"/>
        <v>0.78793185715415581</v>
      </c>
      <c r="H14" s="230">
        <f t="shared" si="0"/>
        <v>0.89324067622786696</v>
      </c>
      <c r="I14" s="231">
        <v>1029807</v>
      </c>
      <c r="J14" s="85">
        <f>J13*0.64</f>
        <v>913017.8095466668</v>
      </c>
      <c r="K14" s="22">
        <f t="shared" ref="K14:K20" si="3">I14/$I$13</f>
        <v>0.50260157260805882</v>
      </c>
      <c r="P14" s="188"/>
      <c r="Q14" s="188"/>
      <c r="R14" s="188"/>
      <c r="S14" s="188"/>
      <c r="T14" s="188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</row>
    <row r="15" spans="1:33" x14ac:dyDescent="0.25">
      <c r="A15" s="225" t="s">
        <v>308</v>
      </c>
      <c r="B15" s="226" t="s">
        <v>47</v>
      </c>
      <c r="C15" s="227">
        <v>6052</v>
      </c>
      <c r="D15" s="85">
        <v>1389</v>
      </c>
      <c r="E15" s="85">
        <v>3970</v>
      </c>
      <c r="F15" s="228">
        <f t="shared" si="1"/>
        <v>2.8581713462922966</v>
      </c>
      <c r="G15" s="229">
        <f t="shared" si="2"/>
        <v>0.22951090548578981</v>
      </c>
      <c r="H15" s="230">
        <f t="shared" si="0"/>
        <v>1.5438411258890432</v>
      </c>
      <c r="I15" s="231"/>
      <c r="J15" s="85">
        <f>J13*0.002</f>
        <v>2853.1806548333338</v>
      </c>
      <c r="K15" s="22">
        <f t="shared" si="3"/>
        <v>0</v>
      </c>
      <c r="P15" s="188"/>
      <c r="Q15" s="188"/>
      <c r="R15" s="188"/>
      <c r="S15" s="188"/>
      <c r="T15" s="188"/>
      <c r="U15" s="190"/>
      <c r="V15" s="190"/>
      <c r="W15" s="190"/>
      <c r="X15" s="190"/>
      <c r="Y15" s="190"/>
      <c r="Z15" s="198"/>
      <c r="AA15" s="198"/>
      <c r="AB15" s="198"/>
      <c r="AC15" s="198"/>
      <c r="AD15" s="198"/>
      <c r="AE15" s="198"/>
      <c r="AF15" s="190"/>
      <c r="AG15" s="190"/>
    </row>
    <row r="16" spans="1:33" x14ac:dyDescent="0.25">
      <c r="A16" s="225" t="s">
        <v>310</v>
      </c>
      <c r="B16" s="226" t="s">
        <v>48</v>
      </c>
      <c r="C16" s="227">
        <v>245891</v>
      </c>
      <c r="D16" s="85">
        <v>294483</v>
      </c>
      <c r="E16" s="85">
        <v>211010</v>
      </c>
      <c r="F16" s="228">
        <f t="shared" si="1"/>
        <v>0.71654390915604638</v>
      </c>
      <c r="G16" s="229">
        <f t="shared" si="2"/>
        <v>1.1976160168529959</v>
      </c>
      <c r="H16" s="230">
        <f t="shared" si="0"/>
        <v>0.95707996300452114</v>
      </c>
      <c r="I16" s="231">
        <v>297534</v>
      </c>
      <c r="J16" s="85">
        <f>J13*0.11</f>
        <v>156924.93601583334</v>
      </c>
      <c r="K16" s="22">
        <f t="shared" si="3"/>
        <v>0.14521270131623321</v>
      </c>
      <c r="P16" s="188"/>
      <c r="Q16" s="188"/>
      <c r="R16" s="188"/>
      <c r="S16" s="188"/>
      <c r="T16" s="188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</row>
    <row r="17" spans="1:33" x14ac:dyDescent="0.25">
      <c r="A17" s="225" t="s">
        <v>319</v>
      </c>
      <c r="B17" s="226" t="s">
        <v>50</v>
      </c>
      <c r="C17" s="227">
        <v>727488</v>
      </c>
      <c r="D17" s="85">
        <v>830991</v>
      </c>
      <c r="E17" s="85">
        <v>452160</v>
      </c>
      <c r="F17" s="228">
        <f t="shared" si="1"/>
        <v>0.54412141647743473</v>
      </c>
      <c r="G17" s="229">
        <f t="shared" si="2"/>
        <v>1.1422745117445237</v>
      </c>
      <c r="H17" s="230">
        <f t="shared" si="0"/>
        <v>0.84319796411097925</v>
      </c>
      <c r="I17" s="231">
        <v>721612</v>
      </c>
      <c r="J17" s="85">
        <f>J13-J14-J15-J16</f>
        <v>353794.40119933331</v>
      </c>
      <c r="K17" s="22">
        <f t="shared" si="3"/>
        <v>0.35218572607570792</v>
      </c>
      <c r="P17" s="188"/>
      <c r="Q17" s="188"/>
      <c r="R17" s="188"/>
      <c r="S17" s="188"/>
      <c r="T17" s="188"/>
      <c r="U17" s="190"/>
      <c r="V17" s="190"/>
      <c r="W17" s="190"/>
      <c r="X17" s="190"/>
      <c r="Y17" s="190"/>
      <c r="Z17" s="190"/>
      <c r="AA17" s="190"/>
      <c r="AB17" s="190"/>
      <c r="AC17" s="190"/>
      <c r="AD17" s="190"/>
      <c r="AE17" s="190"/>
      <c r="AF17" s="190"/>
      <c r="AG17" s="190"/>
    </row>
    <row r="18" spans="1:33" x14ac:dyDescent="0.25">
      <c r="A18" s="210" t="s">
        <v>320</v>
      </c>
      <c r="B18" s="232" t="s">
        <v>52</v>
      </c>
      <c r="C18" s="233">
        <v>8640</v>
      </c>
      <c r="D18" s="234">
        <v>8280</v>
      </c>
      <c r="E18" s="234">
        <v>8040</v>
      </c>
      <c r="F18" s="228">
        <f t="shared" si="1"/>
        <v>0.97101449275362317</v>
      </c>
      <c r="G18" s="229">
        <f t="shared" si="2"/>
        <v>0.95833333333333337</v>
      </c>
      <c r="H18" s="230">
        <f t="shared" si="0"/>
        <v>0.96467391304347827</v>
      </c>
      <c r="I18" s="235">
        <v>47189</v>
      </c>
      <c r="J18" s="235">
        <f>I18*$H$18</f>
        <v>45521.997282608696</v>
      </c>
      <c r="K18" s="22">
        <f t="shared" si="3"/>
        <v>2.3030786943380351E-2</v>
      </c>
      <c r="P18" s="188"/>
      <c r="Q18" s="188"/>
      <c r="R18" s="188"/>
      <c r="S18" s="188"/>
      <c r="T18" s="188"/>
      <c r="U18" s="190"/>
      <c r="V18" s="190"/>
      <c r="W18" s="190"/>
      <c r="X18" s="190"/>
      <c r="Y18" s="190"/>
      <c r="Z18" s="207"/>
      <c r="AA18" s="207"/>
      <c r="AB18" s="207"/>
      <c r="AC18" s="207"/>
      <c r="AD18" s="207"/>
      <c r="AE18" s="207"/>
      <c r="AF18" s="190"/>
      <c r="AG18" s="190"/>
    </row>
    <row r="19" spans="1:33" x14ac:dyDescent="0.25">
      <c r="A19" s="225" t="s">
        <v>321</v>
      </c>
      <c r="B19" s="226" t="s">
        <v>56</v>
      </c>
      <c r="C19" s="227">
        <v>8640</v>
      </c>
      <c r="D19" s="85">
        <v>8280</v>
      </c>
      <c r="E19" s="85">
        <v>8040</v>
      </c>
      <c r="F19" s="228">
        <f t="shared" si="1"/>
        <v>0.97101449275362317</v>
      </c>
      <c r="G19" s="229">
        <f t="shared" si="2"/>
        <v>0.95833333333333337</v>
      </c>
      <c r="H19" s="230">
        <f t="shared" si="0"/>
        <v>0.96467391304347827</v>
      </c>
      <c r="I19" s="85">
        <v>7800</v>
      </c>
      <c r="J19" s="85">
        <f>J18</f>
        <v>45521.997282608696</v>
      </c>
      <c r="K19" s="22">
        <f t="shared" si="3"/>
        <v>3.8068223136401859E-3</v>
      </c>
      <c r="U19" s="190"/>
      <c r="V19" s="190"/>
      <c r="W19" s="190"/>
      <c r="X19" s="190"/>
      <c r="Y19" s="190"/>
      <c r="Z19" s="207"/>
      <c r="AA19" s="207"/>
      <c r="AB19" s="207"/>
      <c r="AC19" s="207"/>
      <c r="AD19" s="207"/>
      <c r="AE19" s="207"/>
      <c r="AF19" s="190"/>
      <c r="AG19" s="190"/>
    </row>
    <row r="20" spans="1:33" x14ac:dyDescent="0.25">
      <c r="A20" s="225"/>
      <c r="B20" s="226" t="s">
        <v>63</v>
      </c>
      <c r="C20" s="227"/>
      <c r="D20" s="85"/>
      <c r="E20" s="85"/>
      <c r="F20" s="228"/>
      <c r="G20" s="229"/>
      <c r="H20" s="230"/>
      <c r="I20" s="85">
        <v>39389</v>
      </c>
      <c r="J20" s="85"/>
      <c r="K20" s="22">
        <f t="shared" si="3"/>
        <v>1.9223964629740166E-2</v>
      </c>
      <c r="U20" s="190"/>
      <c r="V20" s="190"/>
      <c r="W20" s="190"/>
      <c r="X20" s="190"/>
      <c r="Y20" s="190"/>
      <c r="Z20" s="207"/>
      <c r="AA20" s="207"/>
      <c r="AB20" s="207"/>
      <c r="AC20" s="207"/>
      <c r="AD20" s="207"/>
      <c r="AE20" s="207"/>
      <c r="AF20" s="190"/>
      <c r="AG20" s="190"/>
    </row>
    <row r="21" spans="1:33" x14ac:dyDescent="0.25">
      <c r="A21" s="210" t="s">
        <v>322</v>
      </c>
      <c r="B21" s="232" t="s">
        <v>64</v>
      </c>
      <c r="C21" s="233">
        <v>4193062</v>
      </c>
      <c r="D21" s="234">
        <v>3400080</v>
      </c>
      <c r="E21" s="234">
        <v>5418784</v>
      </c>
      <c r="F21" s="228">
        <f t="shared" si="1"/>
        <v>1.5937225006470437</v>
      </c>
      <c r="G21" s="229">
        <f t="shared" si="2"/>
        <v>0.81088235757067273</v>
      </c>
      <c r="H21" s="230">
        <f t="shared" si="0"/>
        <v>1.2023024291088582</v>
      </c>
      <c r="I21" s="234">
        <v>5166130</v>
      </c>
      <c r="J21" s="234">
        <f>O8</f>
        <v>4783273.4507500008</v>
      </c>
      <c r="K21" s="239"/>
      <c r="L21" s="4"/>
      <c r="M21" s="4"/>
      <c r="N21" s="4"/>
      <c r="U21" s="190"/>
      <c r="V21" s="190"/>
      <c r="W21" s="190"/>
      <c r="X21" s="190"/>
      <c r="Y21" s="190"/>
      <c r="Z21" s="207"/>
      <c r="AA21" s="207"/>
      <c r="AB21" s="207"/>
      <c r="AC21" s="207"/>
      <c r="AD21" s="207"/>
      <c r="AE21" s="207"/>
      <c r="AF21" s="190"/>
      <c r="AG21" s="190"/>
    </row>
    <row r="22" spans="1:33" x14ac:dyDescent="0.25">
      <c r="A22" s="240" t="s">
        <v>323</v>
      </c>
      <c r="B22" s="241" t="s">
        <v>65</v>
      </c>
      <c r="C22" s="242">
        <v>4163053</v>
      </c>
      <c r="D22" s="243">
        <v>2038309</v>
      </c>
      <c r="E22" s="243">
        <v>2169539</v>
      </c>
      <c r="F22" s="244">
        <f t="shared" si="1"/>
        <v>1.0643817988342297</v>
      </c>
      <c r="G22" s="245">
        <f t="shared" si="2"/>
        <v>0.48961879658990648</v>
      </c>
      <c r="H22" s="245">
        <f t="shared" si="0"/>
        <v>0.77700029771206802</v>
      </c>
      <c r="I22" s="243">
        <v>2389493</v>
      </c>
      <c r="J22" s="243">
        <f>O10</f>
        <v>1678341.5616666668</v>
      </c>
      <c r="K22" s="22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0"/>
      <c r="AG22" s="190"/>
    </row>
    <row r="23" spans="1:33" x14ac:dyDescent="0.25">
      <c r="A23" s="225" t="s">
        <v>324</v>
      </c>
      <c r="B23" s="226" t="s">
        <v>66</v>
      </c>
      <c r="C23" s="227">
        <v>289681</v>
      </c>
      <c r="D23" s="85">
        <v>362455</v>
      </c>
      <c r="E23" s="85">
        <v>494250</v>
      </c>
      <c r="F23" s="228">
        <f t="shared" si="1"/>
        <v>1.3636175525237615</v>
      </c>
      <c r="G23" s="229">
        <f t="shared" si="2"/>
        <v>1.2512211708741685</v>
      </c>
      <c r="H23" s="230">
        <f t="shared" si="0"/>
        <v>1.3074193616989649</v>
      </c>
      <c r="I23" s="85">
        <v>431289</v>
      </c>
      <c r="J23" s="85">
        <f>J22-J24</f>
        <v>-297486.27433333313</v>
      </c>
      <c r="K23" s="22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</row>
    <row r="24" spans="1:33" x14ac:dyDescent="0.25">
      <c r="A24" s="225" t="s">
        <v>321</v>
      </c>
      <c r="B24" s="226" t="s">
        <v>56</v>
      </c>
      <c r="C24" s="227">
        <v>3873372</v>
      </c>
      <c r="D24" s="85">
        <v>1675854</v>
      </c>
      <c r="E24" s="85">
        <v>1675289</v>
      </c>
      <c r="F24" s="228">
        <f t="shared" si="1"/>
        <v>0.99966285845903047</v>
      </c>
      <c r="G24" s="229">
        <f t="shared" si="2"/>
        <v>0.43266022473441745</v>
      </c>
      <c r="H24" s="230">
        <f t="shared" si="0"/>
        <v>0.71616154159672396</v>
      </c>
      <c r="I24" s="85">
        <v>1958204</v>
      </c>
      <c r="J24" s="85">
        <f>I24*1.009</f>
        <v>1975827.8359999999</v>
      </c>
      <c r="K24" s="22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</row>
    <row r="25" spans="1:33" x14ac:dyDescent="0.25">
      <c r="A25" s="225" t="s">
        <v>310</v>
      </c>
      <c r="B25" s="226" t="s">
        <v>58</v>
      </c>
      <c r="C25" s="227"/>
      <c r="D25" s="85">
        <v>1300000</v>
      </c>
      <c r="E25" s="85">
        <v>3200000</v>
      </c>
      <c r="F25" s="228">
        <f t="shared" si="1"/>
        <v>2.4615384615384617</v>
      </c>
      <c r="G25" s="229">
        <v>0</v>
      </c>
      <c r="H25" s="230">
        <f t="shared" si="0"/>
        <v>1.2307692307692308</v>
      </c>
      <c r="I25" s="85">
        <v>2700000</v>
      </c>
      <c r="J25" s="85">
        <f>J21-J22-J28</f>
        <v>3094332.9490833343</v>
      </c>
      <c r="K25" s="22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</row>
    <row r="26" spans="1:33" x14ac:dyDescent="0.25">
      <c r="A26" s="225" t="s">
        <v>313</v>
      </c>
      <c r="B26" s="226" t="s">
        <v>70</v>
      </c>
      <c r="C26" s="227">
        <v>27623</v>
      </c>
      <c r="D26" s="85">
        <v>59363</v>
      </c>
      <c r="E26" s="85">
        <v>0</v>
      </c>
      <c r="F26" s="228">
        <f t="shared" si="1"/>
        <v>0</v>
      </c>
      <c r="G26" s="229">
        <f>D26/C26</f>
        <v>2.1490424646128226</v>
      </c>
      <c r="H26" s="230">
        <f t="shared" si="0"/>
        <v>1.0745212323064113</v>
      </c>
      <c r="I26" s="85"/>
      <c r="J26" s="85">
        <v>0</v>
      </c>
      <c r="K26" s="22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</row>
    <row r="27" spans="1:33" x14ac:dyDescent="0.25">
      <c r="A27" s="225" t="s">
        <v>315</v>
      </c>
      <c r="B27" s="226" t="s">
        <v>71</v>
      </c>
      <c r="C27" s="227"/>
      <c r="D27" s="85"/>
      <c r="E27" s="85">
        <v>47175</v>
      </c>
      <c r="F27" s="228"/>
      <c r="G27" s="229"/>
      <c r="H27" s="230" t="e">
        <f t="shared" si="0"/>
        <v>#DIV/0!</v>
      </c>
      <c r="I27" s="85">
        <v>65931</v>
      </c>
      <c r="J27" s="85"/>
      <c r="K27" s="22"/>
      <c r="U27" s="190"/>
      <c r="V27" s="190"/>
      <c r="W27" s="190"/>
      <c r="X27" s="190"/>
      <c r="Y27" s="190"/>
      <c r="Z27" s="190"/>
      <c r="AA27" s="190"/>
      <c r="AB27" s="190"/>
      <c r="AC27" s="190"/>
      <c r="AD27" s="190"/>
      <c r="AE27" s="190"/>
      <c r="AF27" s="190"/>
      <c r="AG27" s="190"/>
    </row>
    <row r="28" spans="1:33" x14ac:dyDescent="0.25">
      <c r="A28" s="225" t="s">
        <v>325</v>
      </c>
      <c r="B28" s="226" t="s">
        <v>72</v>
      </c>
      <c r="C28" s="227">
        <v>2386</v>
      </c>
      <c r="D28" s="85">
        <v>2408</v>
      </c>
      <c r="E28" s="85">
        <v>2070</v>
      </c>
      <c r="F28" s="228">
        <f>E28/D28</f>
        <v>0.85963455149501666</v>
      </c>
      <c r="G28" s="229">
        <f>D28/C28</f>
        <v>1.0092204526404023</v>
      </c>
      <c r="H28" s="230">
        <f t="shared" si="0"/>
        <v>0.93442750206770953</v>
      </c>
      <c r="I28" s="85">
        <v>10706</v>
      </c>
      <c r="J28" s="85">
        <f>I28*0.99</f>
        <v>10598.94</v>
      </c>
      <c r="K28" s="22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0"/>
      <c r="AF28" s="190"/>
      <c r="AG28" s="190"/>
    </row>
    <row r="29" spans="1:33" x14ac:dyDescent="0.25">
      <c r="A29" s="210" t="s">
        <v>326</v>
      </c>
      <c r="B29" s="232" t="s">
        <v>78</v>
      </c>
      <c r="C29" s="233">
        <v>915488</v>
      </c>
      <c r="D29" s="234">
        <v>1546443</v>
      </c>
      <c r="E29" s="303">
        <v>1864118</v>
      </c>
      <c r="F29" s="304">
        <f>E29/D29</f>
        <v>1.2054230256142644</v>
      </c>
      <c r="G29" s="305">
        <f>D29/C29</f>
        <v>1.6892007322870426</v>
      </c>
      <c r="H29" s="305">
        <f t="shared" si="0"/>
        <v>1.4473118789506536</v>
      </c>
      <c r="I29" s="306">
        <v>1800953</v>
      </c>
      <c r="J29" s="234">
        <f>J21*0.71</f>
        <v>3396124.1500325003</v>
      </c>
      <c r="K29" s="22"/>
      <c r="L29" s="6"/>
      <c r="U29" s="190"/>
      <c r="V29" s="190"/>
      <c r="W29" s="190"/>
      <c r="X29" s="190"/>
      <c r="Y29" s="190"/>
      <c r="Z29" s="190"/>
      <c r="AA29" s="190"/>
      <c r="AB29" s="190"/>
      <c r="AC29" s="190"/>
      <c r="AD29" s="190"/>
      <c r="AE29" s="190"/>
      <c r="AF29" s="190"/>
      <c r="AG29" s="190"/>
    </row>
    <row r="30" spans="1:33" x14ac:dyDescent="0.25">
      <c r="A30" s="225" t="s">
        <v>327</v>
      </c>
      <c r="B30" s="226" t="s">
        <v>79</v>
      </c>
      <c r="C30" s="227">
        <v>8295</v>
      </c>
      <c r="D30" s="85">
        <v>18553</v>
      </c>
      <c r="E30" s="85">
        <v>4047</v>
      </c>
      <c r="F30" s="228">
        <f>E30/D30</f>
        <v>0.21813183851668194</v>
      </c>
      <c r="G30" s="229">
        <f>D30/C30</f>
        <v>2.2366485834840266</v>
      </c>
      <c r="H30" s="230">
        <f t="shared" si="0"/>
        <v>1.2273902110003543</v>
      </c>
      <c r="I30" s="302">
        <v>1388</v>
      </c>
      <c r="J30" s="85">
        <f>I30*1.02</f>
        <v>1415.76</v>
      </c>
      <c r="K30" s="239"/>
      <c r="U30" s="190"/>
      <c r="V30" s="190"/>
      <c r="W30" s="190"/>
      <c r="X30" s="190"/>
      <c r="Y30" s="190"/>
      <c r="Z30" s="190"/>
      <c r="AA30" s="190"/>
      <c r="AB30" s="190"/>
      <c r="AC30" s="190"/>
      <c r="AD30" s="190"/>
      <c r="AE30" s="190"/>
      <c r="AF30" s="190"/>
      <c r="AG30" s="190"/>
    </row>
    <row r="31" spans="1:33" x14ac:dyDescent="0.25">
      <c r="A31" s="225" t="s">
        <v>308</v>
      </c>
      <c r="B31" s="226" t="s">
        <v>80</v>
      </c>
      <c r="C31" s="227">
        <v>907193</v>
      </c>
      <c r="D31" s="85">
        <v>1527890</v>
      </c>
      <c r="E31" s="85">
        <v>1860071</v>
      </c>
      <c r="F31" s="228">
        <f>E31/D31</f>
        <v>1.217411593766567</v>
      </c>
      <c r="G31" s="229">
        <f>D31/C31</f>
        <v>1.6841950940979482</v>
      </c>
      <c r="H31" s="230">
        <f t="shared" si="0"/>
        <v>1.4508033439322576</v>
      </c>
      <c r="I31" s="302">
        <v>1799565</v>
      </c>
      <c r="J31" s="85">
        <f>J29-J30</f>
        <v>3394708.3900325005</v>
      </c>
      <c r="K31" s="22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</row>
    <row r="32" spans="1:33" x14ac:dyDescent="0.25">
      <c r="A32" s="246" t="s">
        <v>328</v>
      </c>
      <c r="B32" s="253" t="s">
        <v>81</v>
      </c>
      <c r="C32" s="254">
        <v>11935</v>
      </c>
      <c r="D32" s="255">
        <v>12614</v>
      </c>
      <c r="E32" s="255">
        <v>14572</v>
      </c>
      <c r="F32" s="256">
        <f>E32/D32</f>
        <v>1.1552243538925004</v>
      </c>
      <c r="G32" s="257">
        <f>D32/C32</f>
        <v>1.056891495601173</v>
      </c>
      <c r="H32" s="257">
        <f t="shared" si="0"/>
        <v>1.1060579247468367</v>
      </c>
      <c r="I32" s="258">
        <v>34066</v>
      </c>
      <c r="J32" s="255">
        <f>I32*0.98</f>
        <v>33384.68</v>
      </c>
      <c r="K32" s="22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</row>
    <row r="33" spans="1:33" ht="15.75" thickBot="1" x14ac:dyDescent="0.3">
      <c r="P33" s="188"/>
      <c r="Q33" s="188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</row>
    <row r="34" spans="1:33" ht="16.5" thickBot="1" x14ac:dyDescent="0.3">
      <c r="A34" s="183"/>
      <c r="B34" s="284" t="s">
        <v>86</v>
      </c>
      <c r="C34" s="282">
        <v>2018</v>
      </c>
      <c r="D34" s="283">
        <v>2019</v>
      </c>
      <c r="E34" s="280">
        <v>2020</v>
      </c>
      <c r="F34" s="307" t="s">
        <v>268</v>
      </c>
      <c r="G34" s="307" t="s">
        <v>267</v>
      </c>
      <c r="H34" s="308" t="s">
        <v>269</v>
      </c>
      <c r="I34" s="309">
        <v>2021</v>
      </c>
      <c r="J34" s="280" t="s">
        <v>305</v>
      </c>
      <c r="M34" s="310" t="s">
        <v>276</v>
      </c>
      <c r="N34" s="311"/>
      <c r="O34" s="312"/>
      <c r="P34" s="202"/>
      <c r="Q34" s="202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0"/>
      <c r="AG34" s="190"/>
    </row>
    <row r="35" spans="1:33" ht="15.75" thickBot="1" x14ac:dyDescent="0.3">
      <c r="A35" s="184" t="s">
        <v>329</v>
      </c>
      <c r="B35" s="144" t="s">
        <v>87</v>
      </c>
      <c r="C35" s="145">
        <v>9124849</v>
      </c>
      <c r="D35" s="146">
        <v>8770194</v>
      </c>
      <c r="E35" s="141">
        <v>10828574</v>
      </c>
      <c r="F35" s="147">
        <f>E35/D35</f>
        <v>1.2347017637238127</v>
      </c>
      <c r="G35" s="147">
        <f>D35/C35</f>
        <v>0.96113305546206851</v>
      </c>
      <c r="H35" s="148">
        <f>AVERAGE(F35:G35)</f>
        <v>1.0979174095929407</v>
      </c>
      <c r="I35" s="134">
        <v>11021744</v>
      </c>
      <c r="J35" s="134">
        <f t="shared" ref="J35" si="4">J36+J42+J63</f>
        <v>11699050.364183336</v>
      </c>
      <c r="M35" s="313"/>
      <c r="N35" s="314">
        <v>2021</v>
      </c>
      <c r="O35" s="315" t="s">
        <v>305</v>
      </c>
      <c r="P35" s="188"/>
      <c r="Q35" s="188"/>
      <c r="R35" s="188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0"/>
      <c r="AG35" s="190"/>
    </row>
    <row r="36" spans="1:33" ht="15.75" thickBot="1" x14ac:dyDescent="0.3">
      <c r="A36" s="259" t="s">
        <v>306</v>
      </c>
      <c r="B36" s="260" t="s">
        <v>88</v>
      </c>
      <c r="C36" s="261">
        <v>5588687</v>
      </c>
      <c r="D36" s="262">
        <v>5590965</v>
      </c>
      <c r="E36" s="263">
        <v>6618673</v>
      </c>
      <c r="F36" s="264">
        <f>E36/D36</f>
        <v>1.1838158528983815</v>
      </c>
      <c r="G36" s="264">
        <f>D36/C36</f>
        <v>1.0004076091575713</v>
      </c>
      <c r="H36" s="265">
        <f t="shared" ref="H36:H63" si="5">AVERAGE(F36:G36)</f>
        <v>1.0921117310279764</v>
      </c>
      <c r="I36" s="266">
        <v>7530026</v>
      </c>
      <c r="J36" s="266">
        <f>J37+J38+J39+J41</f>
        <v>7802189.3521000035</v>
      </c>
      <c r="M36" s="316" t="s">
        <v>271</v>
      </c>
      <c r="N36" s="85">
        <f>$I$66</f>
        <v>28886746</v>
      </c>
      <c r="O36" s="317">
        <f>$J$66</f>
        <v>30210148.110000003</v>
      </c>
      <c r="P36" s="189"/>
      <c r="Q36" s="189"/>
      <c r="R36" s="189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0"/>
      <c r="AG36" s="190"/>
    </row>
    <row r="37" spans="1:33" x14ac:dyDescent="0.25">
      <c r="A37" s="184" t="s">
        <v>307</v>
      </c>
      <c r="B37" s="149" t="s">
        <v>89</v>
      </c>
      <c r="C37" s="150">
        <v>2632312</v>
      </c>
      <c r="D37" s="151">
        <v>2632312</v>
      </c>
      <c r="E37" s="142">
        <v>2632312</v>
      </c>
      <c r="F37" s="152">
        <f>E37/D37</f>
        <v>1</v>
      </c>
      <c r="G37" s="153">
        <f>D37/C37</f>
        <v>1</v>
      </c>
      <c r="H37" s="154">
        <f t="shared" si="5"/>
        <v>1</v>
      </c>
      <c r="I37" s="135">
        <v>2632312</v>
      </c>
      <c r="J37" s="135">
        <f>I37</f>
        <v>2632312</v>
      </c>
      <c r="M37" s="316" t="s">
        <v>277</v>
      </c>
      <c r="N37" s="84">
        <v>37</v>
      </c>
      <c r="O37" s="318"/>
      <c r="P37" s="188"/>
      <c r="Q37" s="188"/>
      <c r="R37" s="188"/>
      <c r="U37" s="190"/>
      <c r="V37" s="190"/>
      <c r="W37" s="190"/>
      <c r="X37" s="190"/>
      <c r="Y37" s="190"/>
      <c r="Z37" s="190"/>
      <c r="AA37" s="190"/>
      <c r="AB37" s="190"/>
      <c r="AC37" s="190"/>
      <c r="AD37" s="190"/>
      <c r="AE37" s="190"/>
      <c r="AF37" s="190"/>
      <c r="AG37" s="190"/>
    </row>
    <row r="38" spans="1:33" ht="15.75" thickBot="1" x14ac:dyDescent="0.3">
      <c r="A38" s="184" t="s">
        <v>330</v>
      </c>
      <c r="B38" s="155" t="s">
        <v>95</v>
      </c>
      <c r="C38" s="156">
        <v>309000</v>
      </c>
      <c r="D38" s="136">
        <v>309000</v>
      </c>
      <c r="E38" s="131">
        <v>309000</v>
      </c>
      <c r="F38" s="157">
        <f>E38/D38</f>
        <v>1</v>
      </c>
      <c r="G38" s="158">
        <f>D38/C38</f>
        <v>1</v>
      </c>
      <c r="H38" s="159">
        <f t="shared" si="5"/>
        <v>1</v>
      </c>
      <c r="I38" s="136">
        <v>309000</v>
      </c>
      <c r="J38" s="136">
        <f>I38</f>
        <v>309000</v>
      </c>
      <c r="M38" s="319" t="s">
        <v>278</v>
      </c>
      <c r="N38" s="320">
        <f>($N$37*N36)/360</f>
        <v>2968915.5611111112</v>
      </c>
      <c r="O38" s="321">
        <f t="shared" ref="O38" si="6">($N$37*O36)/360</f>
        <v>3104931.8890833338</v>
      </c>
      <c r="P38" s="201"/>
      <c r="Q38" s="201"/>
      <c r="R38" s="201"/>
      <c r="U38" s="190"/>
      <c r="V38" s="190"/>
      <c r="W38" s="190"/>
      <c r="X38" s="190"/>
      <c r="Y38" s="190"/>
      <c r="Z38" s="190"/>
      <c r="AA38" s="190"/>
      <c r="AB38" s="190"/>
      <c r="AC38" s="190"/>
      <c r="AD38" s="190"/>
      <c r="AE38" s="190"/>
      <c r="AF38" s="190"/>
      <c r="AG38" s="190"/>
    </row>
    <row r="39" spans="1:33" x14ac:dyDescent="0.25">
      <c r="A39" s="184" t="s">
        <v>331</v>
      </c>
      <c r="B39" s="155" t="s">
        <v>101</v>
      </c>
      <c r="C39" s="156">
        <v>-43798</v>
      </c>
      <c r="D39" s="136"/>
      <c r="E39" s="131">
        <v>37268</v>
      </c>
      <c r="F39" s="157"/>
      <c r="G39" s="158"/>
      <c r="H39" s="159" t="e">
        <f t="shared" si="5"/>
        <v>#DIV/0!</v>
      </c>
      <c r="I39" s="136">
        <v>52086</v>
      </c>
      <c r="J39" s="136">
        <v>0</v>
      </c>
      <c r="M39" s="322" t="s">
        <v>279</v>
      </c>
      <c r="N39" s="323">
        <v>23</v>
      </c>
      <c r="O39" s="324"/>
      <c r="P39" s="188"/>
      <c r="Q39" s="188"/>
      <c r="R39" s="188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</row>
    <row r="40" spans="1:33" ht="15.75" thickBot="1" x14ac:dyDescent="0.3">
      <c r="A40" s="185" t="s">
        <v>332</v>
      </c>
      <c r="B40" s="143" t="s">
        <v>102</v>
      </c>
      <c r="C40" s="160">
        <v>-43798</v>
      </c>
      <c r="D40" s="137"/>
      <c r="E40" s="132"/>
      <c r="F40" s="157"/>
      <c r="G40" s="158"/>
      <c r="H40" s="159" t="e">
        <f t="shared" si="5"/>
        <v>#DIV/0!</v>
      </c>
      <c r="I40" s="137"/>
      <c r="J40" s="137">
        <v>0</v>
      </c>
      <c r="M40" s="325" t="s">
        <v>280</v>
      </c>
      <c r="N40" s="326">
        <f>($N$39*N36)/360</f>
        <v>1845542.1055555556</v>
      </c>
      <c r="O40" s="327">
        <f t="shared" ref="O40" si="7">($N$39*O36)/360</f>
        <v>1930092.795916667</v>
      </c>
      <c r="P40" s="188"/>
      <c r="Q40" s="188"/>
      <c r="R40" s="188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</row>
    <row r="41" spans="1:33" ht="15.75" thickBot="1" x14ac:dyDescent="0.3">
      <c r="A41" s="184" t="s">
        <v>333</v>
      </c>
      <c r="B41" s="161" t="s">
        <v>108</v>
      </c>
      <c r="C41" s="162">
        <v>2691173</v>
      </c>
      <c r="D41" s="163">
        <v>2649653</v>
      </c>
      <c r="E41" s="164">
        <v>3640093</v>
      </c>
      <c r="F41" s="165">
        <f>E41/D41</f>
        <v>1.373799890023335</v>
      </c>
      <c r="G41" s="166">
        <f>D41/C41</f>
        <v>0.98457178338219065</v>
      </c>
      <c r="H41" s="159">
        <f t="shared" si="5"/>
        <v>1.1791858367027628</v>
      </c>
      <c r="I41" s="167">
        <v>4536628</v>
      </c>
      <c r="J41" s="138">
        <f>J102</f>
        <v>4860877.3521000035</v>
      </c>
      <c r="K41" s="6">
        <f t="shared" ref="K41" si="8">K102</f>
        <v>0</v>
      </c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0"/>
      <c r="AF41" s="190"/>
      <c r="AG41" s="190"/>
    </row>
    <row r="42" spans="1:33" ht="15.75" thickBot="1" x14ac:dyDescent="0.3">
      <c r="A42" s="259" t="s">
        <v>316</v>
      </c>
      <c r="B42" s="260" t="s">
        <v>109</v>
      </c>
      <c r="C42" s="261">
        <v>3536162</v>
      </c>
      <c r="D42" s="262">
        <v>3179229</v>
      </c>
      <c r="E42" s="263">
        <v>4209901</v>
      </c>
      <c r="F42" s="267">
        <f>E42/D42</f>
        <v>1.3241892924353671</v>
      </c>
      <c r="G42" s="268">
        <f>D42/C42</f>
        <v>0.89906203392265405</v>
      </c>
      <c r="H42" s="269">
        <f t="shared" si="5"/>
        <v>1.1116256631790105</v>
      </c>
      <c r="I42" s="266">
        <v>3491718</v>
      </c>
      <c r="J42" s="266">
        <f t="shared" ref="J42" si="9">J43+J47+J49+J50+J58+J61+J62</f>
        <v>3896861.0120833339</v>
      </c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0"/>
      <c r="AG42" s="190"/>
    </row>
    <row r="43" spans="1:33" x14ac:dyDescent="0.25">
      <c r="A43" s="184" t="s">
        <v>317</v>
      </c>
      <c r="B43" s="149" t="s">
        <v>110</v>
      </c>
      <c r="C43" s="150">
        <v>155649</v>
      </c>
      <c r="D43" s="151">
        <v>176339</v>
      </c>
      <c r="E43" s="142">
        <v>175520</v>
      </c>
      <c r="F43" s="152">
        <f>E43/D43</f>
        <v>0.99535553677859123</v>
      </c>
      <c r="G43" s="153">
        <f>D43/C43</f>
        <v>1.1329272915341571</v>
      </c>
      <c r="H43" s="159">
        <f t="shared" si="5"/>
        <v>1.0641414141563741</v>
      </c>
      <c r="I43" s="135">
        <v>24942</v>
      </c>
      <c r="J43" s="135">
        <f t="shared" ref="J43" si="10">J46+J45</f>
        <v>25191.420000000002</v>
      </c>
      <c r="U43" s="190"/>
      <c r="V43" s="190"/>
      <c r="W43" s="190"/>
      <c r="X43" s="190"/>
      <c r="Y43" s="190"/>
      <c r="Z43" s="190"/>
      <c r="AA43" s="190"/>
      <c r="AB43" s="190"/>
      <c r="AC43" s="190"/>
      <c r="AD43" s="190"/>
      <c r="AE43" s="190"/>
      <c r="AF43" s="190"/>
      <c r="AG43" s="190"/>
    </row>
    <row r="44" spans="1:33" x14ac:dyDescent="0.25">
      <c r="A44" s="186" t="s">
        <v>334</v>
      </c>
      <c r="B44" s="168" t="s">
        <v>281</v>
      </c>
      <c r="C44" s="169"/>
      <c r="D44" s="170"/>
      <c r="E44" s="133"/>
      <c r="F44" s="171"/>
      <c r="G44" s="172"/>
      <c r="H44" s="173"/>
      <c r="I44" s="174"/>
      <c r="J44" s="137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</row>
    <row r="45" spans="1:33" x14ac:dyDescent="0.25">
      <c r="A45" s="185" t="s">
        <v>325</v>
      </c>
      <c r="B45" s="143" t="s">
        <v>121</v>
      </c>
      <c r="C45" s="160">
        <v>12526</v>
      </c>
      <c r="D45" s="137">
        <v>20497</v>
      </c>
      <c r="E45" s="132">
        <v>23845</v>
      </c>
      <c r="F45" s="157">
        <f>E45/D45</f>
        <v>1.1633409767283016</v>
      </c>
      <c r="G45" s="158">
        <f>D45/C45</f>
        <v>1.636356378732237</v>
      </c>
      <c r="H45" s="159">
        <f t="shared" si="5"/>
        <v>1.3998486777302692</v>
      </c>
      <c r="I45" s="175">
        <v>24942</v>
      </c>
      <c r="J45" s="137">
        <f>I45*1.01</f>
        <v>25191.420000000002</v>
      </c>
      <c r="U45" s="190"/>
      <c r="V45" s="190"/>
      <c r="W45" s="190"/>
      <c r="X45" s="190"/>
      <c r="Y45" s="190"/>
      <c r="Z45" s="190"/>
      <c r="AA45" s="193"/>
      <c r="AB45" s="193"/>
      <c r="AC45" s="193"/>
      <c r="AD45" s="193"/>
      <c r="AE45" s="193"/>
      <c r="AF45" s="193"/>
      <c r="AG45" s="193"/>
    </row>
    <row r="46" spans="1:33" x14ac:dyDescent="0.25">
      <c r="A46" s="185" t="s">
        <v>335</v>
      </c>
      <c r="B46" s="143" t="s">
        <v>124</v>
      </c>
      <c r="C46" s="160">
        <v>143123</v>
      </c>
      <c r="D46" s="137">
        <v>155842</v>
      </c>
      <c r="E46" s="132">
        <v>151675</v>
      </c>
      <c r="F46" s="157">
        <f>E46/D46</f>
        <v>0.97326138011575825</v>
      </c>
      <c r="G46" s="158">
        <f>D46/C46</f>
        <v>1.0888676173640854</v>
      </c>
      <c r="H46" s="159">
        <f t="shared" si="5"/>
        <v>1.0310644987399218</v>
      </c>
      <c r="I46" s="175"/>
      <c r="J46" s="137">
        <f>I46*0.9</f>
        <v>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196"/>
      <c r="V46" s="196"/>
      <c r="W46" s="190"/>
      <c r="X46" s="190"/>
      <c r="Y46" s="190"/>
      <c r="Z46" s="190"/>
      <c r="AA46" s="193"/>
      <c r="AB46" s="193"/>
      <c r="AC46" s="193"/>
      <c r="AD46" s="193"/>
      <c r="AE46" s="193"/>
      <c r="AF46" s="193"/>
      <c r="AG46" s="193"/>
    </row>
    <row r="47" spans="1:33" x14ac:dyDescent="0.25">
      <c r="A47" s="184" t="s">
        <v>320</v>
      </c>
      <c r="B47" s="155" t="s">
        <v>125</v>
      </c>
      <c r="C47" s="156">
        <v>195222</v>
      </c>
      <c r="D47" s="136">
        <v>189859</v>
      </c>
      <c r="E47" s="131">
        <v>177337</v>
      </c>
      <c r="F47" s="157">
        <f>E47/D47</f>
        <v>0.93404579187712988</v>
      </c>
      <c r="G47" s="158">
        <f>D47/C47</f>
        <v>0.97252871090348425</v>
      </c>
      <c r="H47" s="159">
        <f t="shared" si="5"/>
        <v>0.95328725139030701</v>
      </c>
      <c r="I47" s="138">
        <v>165007</v>
      </c>
      <c r="J47" s="136">
        <f>I47*1.009</f>
        <v>166492.06299999999</v>
      </c>
      <c r="L47" s="208"/>
      <c r="U47" s="190"/>
      <c r="V47" s="190"/>
      <c r="W47" s="190"/>
      <c r="X47" s="190"/>
      <c r="Y47" s="190"/>
      <c r="Z47" s="203"/>
      <c r="AA47" s="200"/>
      <c r="AB47" s="200"/>
      <c r="AC47" s="200"/>
      <c r="AD47" s="200"/>
      <c r="AE47" s="200"/>
      <c r="AF47" s="200"/>
      <c r="AG47" s="200"/>
    </row>
    <row r="48" spans="1:33" x14ac:dyDescent="0.25">
      <c r="A48" s="185" t="s">
        <v>308</v>
      </c>
      <c r="B48" s="143" t="s">
        <v>127</v>
      </c>
      <c r="C48" s="160">
        <v>195222</v>
      </c>
      <c r="D48" s="137">
        <v>189859</v>
      </c>
      <c r="E48" s="176">
        <v>177337</v>
      </c>
      <c r="F48" s="157">
        <f>E48/D48</f>
        <v>0.93404579187712988</v>
      </c>
      <c r="G48" s="158">
        <f>D48/C48</f>
        <v>0.97252871090348425</v>
      </c>
      <c r="H48" s="159">
        <f t="shared" si="5"/>
        <v>0.95328725139030701</v>
      </c>
      <c r="I48" s="177">
        <v>165007</v>
      </c>
      <c r="J48" s="137">
        <f>J47</f>
        <v>166492.06299999999</v>
      </c>
      <c r="U48" s="190"/>
      <c r="V48" s="190"/>
      <c r="W48" s="190"/>
      <c r="X48" s="190"/>
      <c r="Y48" s="190"/>
      <c r="Z48" s="190"/>
      <c r="AA48" s="193"/>
      <c r="AB48" s="193"/>
      <c r="AC48" s="193"/>
      <c r="AD48" s="193"/>
      <c r="AE48" s="193"/>
      <c r="AF48" s="193"/>
      <c r="AG48" s="193"/>
    </row>
    <row r="49" spans="1:33" x14ac:dyDescent="0.25">
      <c r="A49" s="184" t="s">
        <v>336</v>
      </c>
      <c r="B49" s="155" t="s">
        <v>128</v>
      </c>
      <c r="C49" s="156"/>
      <c r="D49" s="136"/>
      <c r="E49" s="131"/>
      <c r="F49" s="157"/>
      <c r="G49" s="158"/>
      <c r="H49" s="159" t="e">
        <f t="shared" si="5"/>
        <v>#DIV/0!</v>
      </c>
      <c r="I49" s="138"/>
      <c r="J49" s="139">
        <f>'[2]Investičný projekt I'!B19</f>
        <v>87000</v>
      </c>
      <c r="U49" s="190"/>
      <c r="V49" s="190"/>
      <c r="W49" s="190"/>
      <c r="X49" s="190"/>
      <c r="Y49" s="190"/>
      <c r="Z49" s="190"/>
      <c r="AA49" s="190"/>
      <c r="AB49" s="190"/>
      <c r="AC49" s="190"/>
      <c r="AD49" s="190"/>
      <c r="AE49" s="190"/>
      <c r="AF49" s="190"/>
      <c r="AG49" s="190"/>
    </row>
    <row r="50" spans="1:33" x14ac:dyDescent="0.25">
      <c r="A50" s="184" t="s">
        <v>337</v>
      </c>
      <c r="B50" s="155" t="s">
        <v>129</v>
      </c>
      <c r="C50" s="156">
        <v>2561477</v>
      </c>
      <c r="D50" s="136">
        <v>2345310</v>
      </c>
      <c r="E50" s="131">
        <v>3153666</v>
      </c>
      <c r="F50" s="157">
        <f t="shared" ref="F50:F60" si="11">E50/D50</f>
        <v>1.3446691482149482</v>
      </c>
      <c r="G50" s="158">
        <f t="shared" ref="G50:G60" si="12">D50/C50</f>
        <v>0.91560845559027082</v>
      </c>
      <c r="H50" s="159">
        <f t="shared" si="5"/>
        <v>1.1301388019026095</v>
      </c>
      <c r="I50" s="138">
        <v>2793605</v>
      </c>
      <c r="J50" s="136">
        <f>O38</f>
        <v>3104931.8890833338</v>
      </c>
      <c r="K50" s="6"/>
      <c r="L50" s="6"/>
      <c r="M50" s="6"/>
      <c r="N50" s="6"/>
      <c r="U50" s="190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</row>
    <row r="51" spans="1:33" x14ac:dyDescent="0.25">
      <c r="A51" s="184" t="s">
        <v>338</v>
      </c>
      <c r="B51" s="178" t="s">
        <v>130</v>
      </c>
      <c r="C51" s="179">
        <v>1969664</v>
      </c>
      <c r="D51" s="140">
        <v>1713095</v>
      </c>
      <c r="E51" s="176">
        <v>2050320</v>
      </c>
      <c r="F51" s="180">
        <f t="shared" si="11"/>
        <v>1.1968513129744702</v>
      </c>
      <c r="G51" s="181">
        <f t="shared" si="12"/>
        <v>0.86973971195087085</v>
      </c>
      <c r="H51" s="182">
        <f t="shared" si="5"/>
        <v>1.0332955124626706</v>
      </c>
      <c r="I51" s="177">
        <v>1908210</v>
      </c>
      <c r="J51" s="140">
        <f>O40</f>
        <v>1930092.795916667</v>
      </c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</row>
    <row r="52" spans="1:33" x14ac:dyDescent="0.25">
      <c r="A52" s="185" t="s">
        <v>324</v>
      </c>
      <c r="B52" s="143" t="s">
        <v>112</v>
      </c>
      <c r="C52" s="160">
        <v>592627</v>
      </c>
      <c r="D52" s="137">
        <v>773122</v>
      </c>
      <c r="E52" s="132">
        <v>826912</v>
      </c>
      <c r="F52" s="180">
        <f t="shared" si="11"/>
        <v>1.0695750476638874</v>
      </c>
      <c r="G52" s="181">
        <f t="shared" si="12"/>
        <v>1.3045676285420678</v>
      </c>
      <c r="H52" s="182">
        <f t="shared" si="5"/>
        <v>1.1870713381029776</v>
      </c>
      <c r="I52" s="175">
        <v>873193</v>
      </c>
      <c r="J52" s="137">
        <f>J51-J53</f>
        <v>688072.39591666707</v>
      </c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</row>
    <row r="53" spans="1:33" x14ac:dyDescent="0.25">
      <c r="A53" s="185" t="s">
        <v>321</v>
      </c>
      <c r="B53" s="143" t="s">
        <v>114</v>
      </c>
      <c r="C53" s="160">
        <v>1377037</v>
      </c>
      <c r="D53" s="137">
        <v>939973</v>
      </c>
      <c r="E53" s="132">
        <v>1223408</v>
      </c>
      <c r="F53" s="157">
        <f t="shared" si="11"/>
        <v>1.301535256863761</v>
      </c>
      <c r="G53" s="158">
        <f t="shared" si="12"/>
        <v>0.68260547828417106</v>
      </c>
      <c r="H53" s="159">
        <f t="shared" si="5"/>
        <v>0.99207036757396605</v>
      </c>
      <c r="I53" s="175">
        <v>1035017</v>
      </c>
      <c r="J53" s="137">
        <f>I53*1.2</f>
        <v>1242020.3999999999</v>
      </c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</row>
    <row r="54" spans="1:33" x14ac:dyDescent="0.25">
      <c r="A54" s="185" t="s">
        <v>311</v>
      </c>
      <c r="B54" s="143" t="s">
        <v>134</v>
      </c>
      <c r="C54" s="160">
        <v>152726</v>
      </c>
      <c r="D54" s="137">
        <v>196472</v>
      </c>
      <c r="E54" s="176">
        <v>176496</v>
      </c>
      <c r="F54" s="157">
        <f t="shared" si="11"/>
        <v>0.89832647909116825</v>
      </c>
      <c r="G54" s="158">
        <f t="shared" si="12"/>
        <v>1.286434529811558</v>
      </c>
      <c r="H54" s="159">
        <f t="shared" si="5"/>
        <v>1.0923805044513633</v>
      </c>
      <c r="I54" s="177">
        <v>225420</v>
      </c>
      <c r="J54" s="137">
        <f>I54*1.01</f>
        <v>227674.2</v>
      </c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</row>
    <row r="55" spans="1:33" x14ac:dyDescent="0.25">
      <c r="A55" s="185" t="s">
        <v>313</v>
      </c>
      <c r="B55" s="143" t="s">
        <v>135</v>
      </c>
      <c r="C55" s="160">
        <v>100899</v>
      </c>
      <c r="D55" s="137">
        <v>126845</v>
      </c>
      <c r="E55" s="176">
        <v>113038</v>
      </c>
      <c r="F55" s="157">
        <f t="shared" si="11"/>
        <v>0.89115061689463515</v>
      </c>
      <c r="G55" s="158">
        <f t="shared" si="12"/>
        <v>1.2571482373462572</v>
      </c>
      <c r="H55" s="159">
        <f t="shared" si="5"/>
        <v>1.0741494271204461</v>
      </c>
      <c r="I55" s="177">
        <v>135859</v>
      </c>
      <c r="J55" s="137">
        <f>I55*1.01</f>
        <v>137217.59</v>
      </c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</row>
    <row r="56" spans="1:33" x14ac:dyDescent="0.25">
      <c r="A56" s="185" t="s">
        <v>315</v>
      </c>
      <c r="B56" s="143" t="s">
        <v>136</v>
      </c>
      <c r="C56" s="160">
        <v>293820</v>
      </c>
      <c r="D56" s="137">
        <v>307586</v>
      </c>
      <c r="E56" s="132">
        <v>809071</v>
      </c>
      <c r="F56" s="157">
        <f t="shared" si="11"/>
        <v>2.630389549589383</v>
      </c>
      <c r="G56" s="158">
        <f t="shared" si="12"/>
        <v>1.0468518140358043</v>
      </c>
      <c r="H56" s="159">
        <f t="shared" si="5"/>
        <v>1.8386206818125936</v>
      </c>
      <c r="I56" s="175">
        <v>522969</v>
      </c>
      <c r="J56" s="137">
        <f>I56*1.01</f>
        <v>528198.69000000006</v>
      </c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</row>
    <row r="57" spans="1:33" x14ac:dyDescent="0.25">
      <c r="A57" s="185" t="s">
        <v>339</v>
      </c>
      <c r="B57" s="143" t="s">
        <v>138</v>
      </c>
      <c r="C57" s="160">
        <v>570</v>
      </c>
      <c r="D57" s="137">
        <v>1312</v>
      </c>
      <c r="E57" s="132">
        <v>4741</v>
      </c>
      <c r="F57" s="157">
        <f t="shared" si="11"/>
        <v>3.6135670731707319</v>
      </c>
      <c r="G57" s="158">
        <f t="shared" si="12"/>
        <v>2.3017543859649123</v>
      </c>
      <c r="H57" s="159">
        <f t="shared" si="5"/>
        <v>2.9576607295678219</v>
      </c>
      <c r="I57" s="175">
        <v>1147</v>
      </c>
      <c r="J57" s="137">
        <f>I57*1.02</f>
        <v>1169.94</v>
      </c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</row>
    <row r="58" spans="1:33" x14ac:dyDescent="0.25">
      <c r="A58" s="184" t="s">
        <v>326</v>
      </c>
      <c r="B58" s="155" t="s">
        <v>139</v>
      </c>
      <c r="C58" s="156">
        <v>623814</v>
      </c>
      <c r="D58" s="136">
        <v>467721</v>
      </c>
      <c r="E58" s="131">
        <v>703378</v>
      </c>
      <c r="F58" s="157">
        <f t="shared" si="11"/>
        <v>1.5038409650197446</v>
      </c>
      <c r="G58" s="158">
        <f t="shared" si="12"/>
        <v>0.74977637565043431</v>
      </c>
      <c r="H58" s="159">
        <f t="shared" si="5"/>
        <v>1.1268086703350895</v>
      </c>
      <c r="I58" s="138">
        <v>508164</v>
      </c>
      <c r="J58" s="136">
        <f>I58*1.01</f>
        <v>513245.64</v>
      </c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</row>
    <row r="59" spans="1:33" x14ac:dyDescent="0.25">
      <c r="A59" s="185" t="s">
        <v>327</v>
      </c>
      <c r="B59" s="143" t="s">
        <v>140</v>
      </c>
      <c r="C59" s="160">
        <v>14119</v>
      </c>
      <c r="D59" s="137">
        <v>18265</v>
      </c>
      <c r="E59" s="132">
        <v>24741</v>
      </c>
      <c r="F59" s="157">
        <f t="shared" si="11"/>
        <v>1.3545578976183958</v>
      </c>
      <c r="G59" s="158">
        <f t="shared" si="12"/>
        <v>1.2936468588426941</v>
      </c>
      <c r="H59" s="159">
        <f t="shared" si="5"/>
        <v>1.324102378230545</v>
      </c>
      <c r="I59" s="137">
        <v>22602</v>
      </c>
      <c r="J59" s="137">
        <f>I59*1.02</f>
        <v>23054.04</v>
      </c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</row>
    <row r="60" spans="1:33" x14ac:dyDescent="0.25">
      <c r="A60" s="185" t="s">
        <v>308</v>
      </c>
      <c r="B60" s="143" t="s">
        <v>141</v>
      </c>
      <c r="C60" s="160">
        <v>609695</v>
      </c>
      <c r="D60" s="137">
        <v>449456</v>
      </c>
      <c r="E60" s="132">
        <v>678637</v>
      </c>
      <c r="F60" s="157">
        <f t="shared" si="11"/>
        <v>1.5099075326617066</v>
      </c>
      <c r="G60" s="158">
        <f t="shared" si="12"/>
        <v>0.73718170560690177</v>
      </c>
      <c r="H60" s="159">
        <f t="shared" si="5"/>
        <v>1.1235446191343041</v>
      </c>
      <c r="I60" s="137">
        <v>485562</v>
      </c>
      <c r="J60" s="137">
        <f>J58-J59</f>
        <v>490191.60000000003</v>
      </c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</row>
    <row r="61" spans="1:33" x14ac:dyDescent="0.25">
      <c r="A61" s="184" t="s">
        <v>340</v>
      </c>
      <c r="B61" s="155" t="s">
        <v>142</v>
      </c>
      <c r="C61" s="156"/>
      <c r="D61" s="136"/>
      <c r="E61" s="131"/>
      <c r="F61" s="157"/>
      <c r="G61" s="158"/>
      <c r="H61" s="159" t="e">
        <f t="shared" si="5"/>
        <v>#DIV/0!</v>
      </c>
      <c r="I61" s="136"/>
      <c r="J61" s="139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</row>
    <row r="62" spans="1:33" x14ac:dyDescent="0.25">
      <c r="A62" s="184" t="s">
        <v>341</v>
      </c>
      <c r="B62" s="155" t="s">
        <v>143</v>
      </c>
      <c r="C62" s="156"/>
      <c r="D62" s="136"/>
      <c r="E62" s="131"/>
      <c r="F62" s="157"/>
      <c r="G62" s="158"/>
      <c r="H62" s="159" t="e">
        <f t="shared" si="5"/>
        <v>#DIV/0!</v>
      </c>
      <c r="I62" s="136"/>
      <c r="J62" s="139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</row>
    <row r="63" spans="1:33" ht="15.75" thickBot="1" x14ac:dyDescent="0.3">
      <c r="A63" s="259" t="s">
        <v>328</v>
      </c>
      <c r="B63" s="270" t="s">
        <v>81</v>
      </c>
      <c r="C63" s="271"/>
      <c r="D63" s="272"/>
      <c r="E63" s="273"/>
      <c r="F63" s="274"/>
      <c r="G63" s="275"/>
      <c r="H63" s="276" t="e">
        <f t="shared" si="5"/>
        <v>#DIV/0!</v>
      </c>
      <c r="I63" s="277"/>
      <c r="J63" s="278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</row>
    <row r="64" spans="1:33" x14ac:dyDescent="0.25"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</row>
    <row r="65" spans="1:33" ht="16.5" thickBot="1" x14ac:dyDescent="0.35">
      <c r="B65" s="328" t="s">
        <v>148</v>
      </c>
      <c r="C65" s="329">
        <v>2018</v>
      </c>
      <c r="D65" s="329">
        <v>2019</v>
      </c>
      <c r="E65" s="329">
        <v>2020</v>
      </c>
      <c r="F65" s="330" t="s">
        <v>268</v>
      </c>
      <c r="G65" s="331" t="s">
        <v>267</v>
      </c>
      <c r="H65" s="332" t="s">
        <v>269</v>
      </c>
      <c r="I65" s="333">
        <v>2021</v>
      </c>
      <c r="J65" s="334" t="s">
        <v>305</v>
      </c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</row>
    <row r="66" spans="1:33" s="5" customFormat="1" x14ac:dyDescent="0.25">
      <c r="A66" s="335" t="s">
        <v>342</v>
      </c>
      <c r="B66" s="336" t="s">
        <v>149</v>
      </c>
      <c r="C66" s="337">
        <v>23298230</v>
      </c>
      <c r="D66" s="337">
        <v>25204145</v>
      </c>
      <c r="E66" s="337">
        <v>28789811</v>
      </c>
      <c r="F66" s="338">
        <f>E66/D66</f>
        <v>1.1422649330100267</v>
      </c>
      <c r="G66" s="339">
        <f>D66/C66</f>
        <v>1.0818051414206145</v>
      </c>
      <c r="H66" s="340">
        <f>AVERAGE(F66:G66)</f>
        <v>1.1120350372153207</v>
      </c>
      <c r="I66" s="341">
        <v>28886746</v>
      </c>
      <c r="J66" s="342">
        <f>SUM(J68:J70)</f>
        <v>30210148.110000003</v>
      </c>
      <c r="K66"/>
      <c r="L66" s="208"/>
      <c r="M66"/>
      <c r="N66"/>
      <c r="O66"/>
      <c r="P66"/>
      <c r="Q66"/>
      <c r="R66"/>
      <c r="S66"/>
      <c r="T66"/>
      <c r="U66" s="190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</row>
    <row r="67" spans="1:33" s="5" customFormat="1" x14ac:dyDescent="0.25">
      <c r="A67" s="335" t="s">
        <v>343</v>
      </c>
      <c r="B67" s="343" t="s">
        <v>150</v>
      </c>
      <c r="C67" s="342">
        <v>23448049</v>
      </c>
      <c r="D67" s="342">
        <v>25369352</v>
      </c>
      <c r="E67" s="342">
        <v>28919418</v>
      </c>
      <c r="F67" s="344">
        <f t="shared" ref="F67:F102" si="13">E67/D67</f>
        <v>1.1399352257795154</v>
      </c>
      <c r="G67" s="345">
        <f t="shared" ref="G67:G102" si="14">D67/C67</f>
        <v>1.0819387148158894</v>
      </c>
      <c r="H67" s="346">
        <f t="shared" ref="H67:H102" si="15">AVERAGE(F67:G67)</f>
        <v>1.1109369702977023</v>
      </c>
      <c r="I67" s="341">
        <v>29189399</v>
      </c>
      <c r="J67" s="342">
        <f>SUM(J68:J73)</f>
        <v>30436364.970000006</v>
      </c>
      <c r="K67"/>
      <c r="L67"/>
      <c r="M67"/>
      <c r="N67"/>
      <c r="O67"/>
      <c r="P67"/>
      <c r="Q67"/>
      <c r="R67"/>
      <c r="S67"/>
      <c r="T67"/>
      <c r="U67" s="190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</row>
    <row r="68" spans="1:33" s="5" customFormat="1" x14ac:dyDescent="0.25">
      <c r="A68" s="347" t="s">
        <v>344</v>
      </c>
      <c r="B68" s="348" t="s">
        <v>151</v>
      </c>
      <c r="C68" s="86">
        <v>13650136</v>
      </c>
      <c r="D68" s="86">
        <v>14435624</v>
      </c>
      <c r="E68" s="86">
        <v>16008927</v>
      </c>
      <c r="F68" s="344">
        <f t="shared" si="13"/>
        <v>1.1089875297389291</v>
      </c>
      <c r="G68" s="345">
        <f t="shared" si="14"/>
        <v>1.0575443350894087</v>
      </c>
      <c r="H68" s="346">
        <f t="shared" si="15"/>
        <v>1.0832659324141689</v>
      </c>
      <c r="I68" s="349">
        <v>16797907</v>
      </c>
      <c r="J68" s="231">
        <f>I68*1.05</f>
        <v>17637802.350000001</v>
      </c>
      <c r="K68"/>
      <c r="L68"/>
      <c r="M68"/>
      <c r="N68"/>
      <c r="O68"/>
      <c r="P68"/>
      <c r="Q68"/>
      <c r="R68"/>
      <c r="S68"/>
      <c r="T68"/>
      <c r="U68" s="190"/>
      <c r="V68" s="190"/>
      <c r="W68" s="190"/>
      <c r="X68" s="190"/>
      <c r="Y68" s="190"/>
      <c r="Z68" s="190"/>
      <c r="AA68" s="190"/>
      <c r="AB68" s="190"/>
      <c r="AC68" s="190"/>
      <c r="AD68" s="190"/>
      <c r="AE68" s="190"/>
      <c r="AF68" s="190"/>
      <c r="AG68" s="190"/>
    </row>
    <row r="69" spans="1:33" s="5" customFormat="1" x14ac:dyDescent="0.25">
      <c r="A69" s="347" t="s">
        <v>345</v>
      </c>
      <c r="B69" s="348" t="s">
        <v>152</v>
      </c>
      <c r="C69" s="86">
        <v>9624818</v>
      </c>
      <c r="D69" s="86">
        <v>10744270</v>
      </c>
      <c r="E69" s="86">
        <v>12764037</v>
      </c>
      <c r="F69" s="344">
        <f t="shared" si="13"/>
        <v>1.1879855029704205</v>
      </c>
      <c r="G69" s="345">
        <f t="shared" si="14"/>
        <v>1.1163089005942761</v>
      </c>
      <c r="H69" s="346">
        <f t="shared" si="15"/>
        <v>1.1521472017823484</v>
      </c>
      <c r="I69" s="349">
        <v>12069805</v>
      </c>
      <c r="J69" s="231">
        <f>I69*1.04</f>
        <v>12552597.200000001</v>
      </c>
      <c r="K69"/>
      <c r="L69"/>
      <c r="M69"/>
      <c r="N69"/>
      <c r="O69"/>
      <c r="P69"/>
      <c r="Q69"/>
      <c r="R69"/>
      <c r="S69"/>
      <c r="T69"/>
      <c r="U69" s="190"/>
      <c r="V69" s="190"/>
      <c r="W69" s="190"/>
      <c r="X69" s="190"/>
      <c r="Y69" s="190"/>
      <c r="Z69" s="190"/>
      <c r="AA69" s="190"/>
      <c r="AB69" s="190"/>
      <c r="AC69" s="190"/>
      <c r="AD69" s="190"/>
      <c r="AE69" s="190"/>
      <c r="AF69" s="190"/>
      <c r="AG69" s="190"/>
    </row>
    <row r="70" spans="1:33" s="5" customFormat="1" x14ac:dyDescent="0.25">
      <c r="A70" s="347" t="s">
        <v>346</v>
      </c>
      <c r="B70" s="348" t="s">
        <v>153</v>
      </c>
      <c r="C70" s="86">
        <v>23276</v>
      </c>
      <c r="D70" s="86">
        <v>24251</v>
      </c>
      <c r="E70" s="86">
        <v>16847</v>
      </c>
      <c r="F70" s="344">
        <f t="shared" si="13"/>
        <v>0.69469300235041853</v>
      </c>
      <c r="G70" s="345">
        <f t="shared" si="14"/>
        <v>1.0418886406599073</v>
      </c>
      <c r="H70" s="346">
        <f t="shared" si="15"/>
        <v>0.8682908215051629</v>
      </c>
      <c r="I70" s="349">
        <v>18989</v>
      </c>
      <c r="J70" s="231">
        <f>I70*1.04</f>
        <v>19748.560000000001</v>
      </c>
      <c r="K70"/>
      <c r="L70"/>
      <c r="M70"/>
      <c r="N70"/>
      <c r="O70"/>
      <c r="P70"/>
      <c r="Q70"/>
      <c r="R70"/>
      <c r="S70"/>
      <c r="T70"/>
      <c r="U70" s="190"/>
      <c r="V70" s="190"/>
      <c r="W70" s="190"/>
      <c r="X70" s="190"/>
      <c r="Y70" s="190"/>
      <c r="Z70" s="190"/>
      <c r="AA70" s="190"/>
      <c r="AB70" s="190"/>
      <c r="AC70" s="190"/>
      <c r="AD70" s="190"/>
      <c r="AE70" s="190"/>
      <c r="AF70" s="190"/>
      <c r="AG70" s="190"/>
    </row>
    <row r="71" spans="1:33" s="5" customFormat="1" x14ac:dyDescent="0.25">
      <c r="A71" s="347" t="s">
        <v>347</v>
      </c>
      <c r="B71" s="348" t="s">
        <v>154</v>
      </c>
      <c r="C71" s="86">
        <v>36642</v>
      </c>
      <c r="D71" s="86">
        <v>25152</v>
      </c>
      <c r="E71" s="86">
        <v>-80886</v>
      </c>
      <c r="F71" s="344">
        <f t="shared" si="13"/>
        <v>-3.2158874045801529</v>
      </c>
      <c r="G71" s="345">
        <f t="shared" si="14"/>
        <v>0.686425413459964</v>
      </c>
      <c r="H71" s="346">
        <f t="shared" si="15"/>
        <v>-1.2647309955600945</v>
      </c>
      <c r="I71" s="349">
        <v>87455</v>
      </c>
      <c r="J71" s="231">
        <v>9536</v>
      </c>
      <c r="K71"/>
      <c r="L71"/>
      <c r="M71"/>
      <c r="N71"/>
      <c r="O71"/>
      <c r="P71"/>
      <c r="Q71"/>
      <c r="R71"/>
      <c r="S71"/>
      <c r="T71"/>
      <c r="U71" s="190"/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0"/>
      <c r="AG71" s="190"/>
    </row>
    <row r="72" spans="1:33" s="5" customFormat="1" x14ac:dyDescent="0.25">
      <c r="A72" s="335" t="s">
        <v>348</v>
      </c>
      <c r="B72" s="350" t="s">
        <v>156</v>
      </c>
      <c r="C72" s="351">
        <v>101965</v>
      </c>
      <c r="D72" s="351">
        <v>127921</v>
      </c>
      <c r="E72" s="351">
        <v>133922</v>
      </c>
      <c r="F72" s="352">
        <f t="shared" si="13"/>
        <v>1.046911765855489</v>
      </c>
      <c r="G72" s="353">
        <f t="shared" si="14"/>
        <v>1.2545579365468542</v>
      </c>
      <c r="H72" s="354">
        <f t="shared" si="15"/>
        <v>1.1507348512011717</v>
      </c>
      <c r="I72" s="355">
        <v>181742</v>
      </c>
      <c r="J72" s="356">
        <f>I72*1.01</f>
        <v>183559.42</v>
      </c>
      <c r="K72"/>
      <c r="L72"/>
      <c r="M72"/>
      <c r="N72"/>
      <c r="O72"/>
      <c r="P72"/>
      <c r="Q72"/>
      <c r="R72"/>
      <c r="S72"/>
      <c r="T72"/>
      <c r="U72" s="190"/>
      <c r="V72" s="190"/>
      <c r="W72" s="190"/>
      <c r="X72" s="190"/>
      <c r="Y72" s="190"/>
      <c r="Z72" s="190"/>
      <c r="AA72" s="190"/>
      <c r="AB72" s="190"/>
      <c r="AC72" s="190"/>
      <c r="AD72" s="190"/>
      <c r="AE72" s="190"/>
      <c r="AF72" s="190"/>
      <c r="AG72" s="190"/>
    </row>
    <row r="73" spans="1:33" s="5" customFormat="1" x14ac:dyDescent="0.25">
      <c r="A73" s="347" t="s">
        <v>349</v>
      </c>
      <c r="B73" s="348" t="s">
        <v>157</v>
      </c>
      <c r="C73" s="86">
        <v>11212</v>
      </c>
      <c r="D73" s="86">
        <v>12134</v>
      </c>
      <c r="E73" s="86">
        <v>76571</v>
      </c>
      <c r="F73" s="344">
        <f t="shared" si="13"/>
        <v>6.3104499752760841</v>
      </c>
      <c r="G73" s="345">
        <f t="shared" si="14"/>
        <v>1.0822333214413129</v>
      </c>
      <c r="H73" s="346">
        <f t="shared" si="15"/>
        <v>3.6963416483586986</v>
      </c>
      <c r="I73" s="349">
        <v>33456</v>
      </c>
      <c r="J73" s="231">
        <f>I73*0.99</f>
        <v>33121.440000000002</v>
      </c>
      <c r="K73"/>
      <c r="L73"/>
      <c r="M73"/>
      <c r="N73"/>
      <c r="O73"/>
      <c r="P73"/>
      <c r="Q73"/>
      <c r="R73"/>
      <c r="S73"/>
      <c r="T73"/>
      <c r="U73" s="190"/>
      <c r="V73" s="190"/>
      <c r="W73" s="190"/>
      <c r="X73" s="190"/>
      <c r="Y73" s="190"/>
      <c r="Z73" s="190"/>
      <c r="AA73" s="190"/>
      <c r="AB73" s="190"/>
      <c r="AC73" s="190"/>
      <c r="AD73" s="190"/>
      <c r="AE73" s="190"/>
      <c r="AF73" s="190"/>
      <c r="AG73" s="190"/>
    </row>
    <row r="74" spans="1:33" s="5" customFormat="1" x14ac:dyDescent="0.25">
      <c r="A74" s="335" t="s">
        <v>343</v>
      </c>
      <c r="B74" s="343" t="s">
        <v>158</v>
      </c>
      <c r="C74" s="342">
        <v>19996919</v>
      </c>
      <c r="D74" s="342">
        <v>21940406</v>
      </c>
      <c r="E74" s="342">
        <v>24214153</v>
      </c>
      <c r="F74" s="357">
        <f t="shared" si="13"/>
        <v>1.1036328589361564</v>
      </c>
      <c r="G74" s="358">
        <f t="shared" si="14"/>
        <v>1.0971893220150564</v>
      </c>
      <c r="H74" s="346">
        <f t="shared" si="15"/>
        <v>1.1004110904756064</v>
      </c>
      <c r="I74" s="341">
        <v>23742620</v>
      </c>
      <c r="J74" s="342">
        <f t="shared" ref="J74" si="16">J75+J76+J77+J78+J79+J83+J84+J86+J87+J88</f>
        <v>24155478.080000002</v>
      </c>
      <c r="K74"/>
      <c r="L74" s="371"/>
      <c r="M74"/>
      <c r="N74"/>
      <c r="O74"/>
      <c r="P74"/>
      <c r="Q74"/>
      <c r="R74"/>
      <c r="S74"/>
      <c r="T74"/>
      <c r="U74" s="190"/>
      <c r="V74" s="190"/>
      <c r="W74" s="190"/>
      <c r="X74" s="190"/>
      <c r="Y74" s="190"/>
      <c r="Z74" s="190"/>
      <c r="AA74" s="190"/>
      <c r="AB74" s="190"/>
      <c r="AC74" s="190"/>
      <c r="AD74" s="190"/>
      <c r="AE74" s="190"/>
      <c r="AF74" s="190"/>
      <c r="AG74" s="190"/>
    </row>
    <row r="75" spans="1:33" s="5" customFormat="1" x14ac:dyDescent="0.25">
      <c r="A75" s="347" t="s">
        <v>306</v>
      </c>
      <c r="B75" s="348" t="s">
        <v>159</v>
      </c>
      <c r="C75" s="86">
        <v>8136209</v>
      </c>
      <c r="D75" s="86">
        <v>8799494</v>
      </c>
      <c r="E75" s="86">
        <v>9702296</v>
      </c>
      <c r="F75" s="344">
        <f t="shared" si="13"/>
        <v>1.1025970356931887</v>
      </c>
      <c r="G75" s="345">
        <f t="shared" si="14"/>
        <v>1.0815226108375535</v>
      </c>
      <c r="H75" s="346">
        <f t="shared" si="15"/>
        <v>1.0920598232653711</v>
      </c>
      <c r="I75" s="349">
        <v>10406146</v>
      </c>
      <c r="J75" s="231">
        <f>I75*1.02</f>
        <v>10614268.92</v>
      </c>
      <c r="K75"/>
      <c r="L75"/>
      <c r="M75"/>
      <c r="N75"/>
      <c r="O75"/>
      <c r="P75"/>
      <c r="Q75"/>
      <c r="R75"/>
      <c r="S75"/>
      <c r="T75"/>
      <c r="U75" s="190"/>
      <c r="V75" s="190"/>
      <c r="W75" s="190"/>
      <c r="X75" s="190"/>
      <c r="Y75" s="190"/>
      <c r="Z75" s="190"/>
      <c r="AA75" s="190"/>
      <c r="AB75" s="190"/>
      <c r="AC75" s="190"/>
      <c r="AD75" s="190"/>
      <c r="AE75" s="190"/>
      <c r="AF75" s="190"/>
      <c r="AG75" s="190"/>
    </row>
    <row r="76" spans="1:33" s="5" customFormat="1" x14ac:dyDescent="0.25">
      <c r="A76" s="347" t="s">
        <v>316</v>
      </c>
      <c r="B76" s="348" t="s">
        <v>160</v>
      </c>
      <c r="C76" s="86">
        <v>4233260</v>
      </c>
      <c r="D76" s="86">
        <v>5142863</v>
      </c>
      <c r="E76" s="86">
        <v>5740209</v>
      </c>
      <c r="F76" s="344">
        <f t="shared" si="13"/>
        <v>1.1161504788286214</v>
      </c>
      <c r="G76" s="345">
        <f t="shared" si="14"/>
        <v>1.2148705725610995</v>
      </c>
      <c r="H76" s="346">
        <f t="shared" si="15"/>
        <v>1.1655105256948604</v>
      </c>
      <c r="I76" s="349">
        <v>5623323</v>
      </c>
      <c r="J76" s="231">
        <f>I76*1.02</f>
        <v>5735789.46</v>
      </c>
      <c r="K76"/>
      <c r="L76"/>
      <c r="M76"/>
      <c r="N76"/>
      <c r="O76"/>
      <c r="P76"/>
      <c r="Q76"/>
      <c r="R76"/>
      <c r="S76"/>
      <c r="T76"/>
      <c r="U76" s="190"/>
      <c r="V76" s="190"/>
      <c r="W76" s="190"/>
      <c r="X76" s="190"/>
      <c r="Y76" s="190"/>
      <c r="Z76" s="190"/>
      <c r="AA76" s="190"/>
      <c r="AB76" s="190"/>
      <c r="AC76" s="190"/>
      <c r="AD76" s="190"/>
      <c r="AE76" s="190"/>
      <c r="AF76" s="190"/>
      <c r="AG76" s="190"/>
    </row>
    <row r="77" spans="1:33" s="5" customFormat="1" x14ac:dyDescent="0.25">
      <c r="A77" s="347" t="s">
        <v>350</v>
      </c>
      <c r="B77" s="348" t="s">
        <v>161</v>
      </c>
      <c r="C77" s="86">
        <v>33439</v>
      </c>
      <c r="D77" s="86">
        <v>9803</v>
      </c>
      <c r="E77" s="86">
        <v>32340</v>
      </c>
      <c r="F77" s="344">
        <f t="shared" si="13"/>
        <v>3.2989901050698767</v>
      </c>
      <c r="G77" s="345">
        <f t="shared" si="14"/>
        <v>0.29316068064236372</v>
      </c>
      <c r="H77" s="346">
        <f t="shared" si="15"/>
        <v>1.7960753928561202</v>
      </c>
      <c r="I77" s="349">
        <v>57233</v>
      </c>
      <c r="J77" s="231">
        <f>I77*1.02</f>
        <v>58377.66</v>
      </c>
      <c r="K77"/>
      <c r="L77"/>
      <c r="M77"/>
      <c r="N77"/>
      <c r="O77"/>
      <c r="P77"/>
      <c r="Q77"/>
      <c r="R77"/>
      <c r="S77"/>
      <c r="T77"/>
      <c r="U77" s="190"/>
      <c r="V77" s="190"/>
      <c r="W77" s="190"/>
      <c r="X77" s="190"/>
      <c r="Y77" s="190"/>
      <c r="Z77" s="190"/>
      <c r="AA77" s="190"/>
      <c r="AB77" s="190"/>
      <c r="AC77" s="190"/>
      <c r="AD77" s="190"/>
      <c r="AE77" s="190"/>
      <c r="AF77" s="190"/>
      <c r="AG77" s="190"/>
    </row>
    <row r="78" spans="1:33" s="5" customFormat="1" x14ac:dyDescent="0.25">
      <c r="A78" s="347" t="s">
        <v>351</v>
      </c>
      <c r="B78" s="348" t="s">
        <v>162</v>
      </c>
      <c r="C78" s="86">
        <v>4570411</v>
      </c>
      <c r="D78" s="86">
        <v>4375195</v>
      </c>
      <c r="E78" s="86">
        <v>4702691</v>
      </c>
      <c r="F78" s="344">
        <f t="shared" si="13"/>
        <v>1.0748528922710874</v>
      </c>
      <c r="G78" s="345">
        <f t="shared" si="14"/>
        <v>0.95728699235145376</v>
      </c>
      <c r="H78" s="346">
        <f t="shared" si="15"/>
        <v>1.0160699423112707</v>
      </c>
      <c r="I78" s="349">
        <v>4018340</v>
      </c>
      <c r="J78" s="231">
        <f>I78*1.01</f>
        <v>4058523.4</v>
      </c>
      <c r="K78"/>
      <c r="L78" s="366" t="s">
        <v>282</v>
      </c>
      <c r="M78" s="367"/>
      <c r="N78" s="367"/>
      <c r="O78" s="368"/>
      <c r="P78" s="369"/>
      <c r="Q78" s="370">
        <v>2020</v>
      </c>
      <c r="R78" s="370">
        <v>2021</v>
      </c>
      <c r="S78" s="370" t="s">
        <v>305</v>
      </c>
      <c r="T78" s="198"/>
      <c r="U78" s="198"/>
      <c r="V78" s="198"/>
      <c r="W78" s="190"/>
      <c r="X78" s="190"/>
      <c r="Y78" s="190"/>
      <c r="Z78" s="190"/>
      <c r="AA78" s="190"/>
      <c r="AB78" s="190"/>
      <c r="AC78" s="190"/>
      <c r="AD78" s="190"/>
      <c r="AE78" s="190"/>
      <c r="AF78" s="190"/>
      <c r="AG78" s="190"/>
    </row>
    <row r="79" spans="1:33" s="5" customFormat="1" x14ac:dyDescent="0.25">
      <c r="A79" s="347" t="s">
        <v>352</v>
      </c>
      <c r="B79" s="348" t="s">
        <v>163</v>
      </c>
      <c r="C79" s="86">
        <v>2596659</v>
      </c>
      <c r="D79" s="86">
        <v>3083082</v>
      </c>
      <c r="E79" s="86">
        <v>3567005</v>
      </c>
      <c r="F79" s="359">
        <f t="shared" si="13"/>
        <v>1.1569607944258375</v>
      </c>
      <c r="G79" s="360">
        <f t="shared" si="14"/>
        <v>1.187326483762404</v>
      </c>
      <c r="H79" s="361">
        <f t="shared" si="15"/>
        <v>1.1721436390941209</v>
      </c>
      <c r="I79" s="349">
        <v>3147940</v>
      </c>
      <c r="J79" s="349">
        <f>SUM(J80:J82)</f>
        <v>3198825.85</v>
      </c>
      <c r="K79" s="6"/>
      <c r="L79" s="84" t="s">
        <v>283</v>
      </c>
      <c r="M79" s="84"/>
      <c r="N79" s="84"/>
      <c r="O79" s="84"/>
      <c r="P79" s="84"/>
      <c r="Q79" s="85">
        <f>E68</f>
        <v>16008927</v>
      </c>
      <c r="R79" s="85">
        <f>I68</f>
        <v>16797907</v>
      </c>
      <c r="S79" s="85">
        <f>J68</f>
        <v>17637802.350000001</v>
      </c>
      <c r="T79" s="193"/>
      <c r="U79" s="193"/>
      <c r="V79" s="193"/>
      <c r="W79" s="190"/>
      <c r="X79" s="190"/>
      <c r="Y79" s="190"/>
      <c r="Z79" s="190"/>
      <c r="AA79" s="190"/>
      <c r="AB79" s="190"/>
      <c r="AC79" s="190"/>
      <c r="AD79" s="190"/>
      <c r="AE79" s="190"/>
      <c r="AF79" s="190"/>
      <c r="AG79" s="190"/>
    </row>
    <row r="80" spans="1:33" s="5" customFormat="1" x14ac:dyDescent="0.25">
      <c r="A80" s="347" t="s">
        <v>353</v>
      </c>
      <c r="B80" s="348" t="s">
        <v>164</v>
      </c>
      <c r="C80" s="86">
        <v>1832663</v>
      </c>
      <c r="D80" s="86">
        <v>2208864</v>
      </c>
      <c r="E80" s="86">
        <v>2547390</v>
      </c>
      <c r="F80" s="344">
        <f t="shared" si="13"/>
        <v>1.1532579642748491</v>
      </c>
      <c r="G80" s="345">
        <f t="shared" si="14"/>
        <v>1.2052756016790867</v>
      </c>
      <c r="H80" s="346">
        <f t="shared" si="15"/>
        <v>1.1792667829769679</v>
      </c>
      <c r="I80" s="349">
        <v>2232097</v>
      </c>
      <c r="J80" s="231">
        <f>I80*1.02</f>
        <v>2276738.94</v>
      </c>
      <c r="K80"/>
      <c r="L80" s="84" t="s">
        <v>284</v>
      </c>
      <c r="M80" s="84"/>
      <c r="N80" s="84"/>
      <c r="O80" s="84"/>
      <c r="P80" s="84"/>
      <c r="Q80" s="85">
        <f>E75</f>
        <v>9702296</v>
      </c>
      <c r="R80" s="85">
        <f>I75</f>
        <v>10406146</v>
      </c>
      <c r="S80" s="85">
        <f>J75</f>
        <v>10614268.92</v>
      </c>
      <c r="T80" s="193"/>
      <c r="U80" s="193"/>
      <c r="V80" s="193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</row>
    <row r="81" spans="1:33" s="5" customFormat="1" x14ac:dyDescent="0.25">
      <c r="A81" s="347" t="s">
        <v>310</v>
      </c>
      <c r="B81" s="348" t="s">
        <v>166</v>
      </c>
      <c r="C81" s="86">
        <v>663563</v>
      </c>
      <c r="D81" s="86">
        <v>769077</v>
      </c>
      <c r="E81" s="86">
        <v>891707</v>
      </c>
      <c r="F81" s="344">
        <f t="shared" si="13"/>
        <v>1.1594508742297585</v>
      </c>
      <c r="G81" s="345">
        <f t="shared" si="14"/>
        <v>1.1590112770000738</v>
      </c>
      <c r="H81" s="346">
        <f t="shared" si="15"/>
        <v>1.1592310756149162</v>
      </c>
      <c r="I81" s="349">
        <v>783991</v>
      </c>
      <c r="J81" s="231">
        <f>I81*1.01</f>
        <v>791830.91</v>
      </c>
      <c r="K81"/>
      <c r="L81" s="363" t="s">
        <v>285</v>
      </c>
      <c r="M81" s="363"/>
      <c r="N81" s="363"/>
      <c r="O81" s="363"/>
      <c r="P81" s="363"/>
      <c r="Q81" s="364">
        <f>Q79-Q80</f>
        <v>6306631</v>
      </c>
      <c r="R81" s="364">
        <f>R79-R80</f>
        <v>6391761</v>
      </c>
      <c r="S81" s="364">
        <f t="shared" ref="S81" si="17">S79-S80</f>
        <v>7023533.4300000016</v>
      </c>
      <c r="T81" s="199"/>
      <c r="U81" s="199"/>
      <c r="V81" s="199"/>
      <c r="W81" s="190"/>
      <c r="X81" s="190"/>
      <c r="Y81" s="190"/>
      <c r="Z81" s="190"/>
      <c r="AA81" s="190"/>
      <c r="AB81" s="190"/>
      <c r="AC81" s="190"/>
      <c r="AD81" s="190"/>
      <c r="AE81" s="190"/>
      <c r="AF81" s="190"/>
      <c r="AG81" s="190"/>
    </row>
    <row r="82" spans="1:33" s="5" customFormat="1" x14ac:dyDescent="0.25">
      <c r="A82" s="347" t="s">
        <v>354</v>
      </c>
      <c r="B82" s="348" t="s">
        <v>167</v>
      </c>
      <c r="C82" s="86">
        <v>100433</v>
      </c>
      <c r="D82" s="86">
        <v>105141</v>
      </c>
      <c r="E82" s="86">
        <v>127908</v>
      </c>
      <c r="F82" s="344">
        <f t="shared" si="13"/>
        <v>1.2165377921077409</v>
      </c>
      <c r="G82" s="345">
        <f t="shared" si="14"/>
        <v>1.0468770224926069</v>
      </c>
      <c r="H82" s="346">
        <f t="shared" si="15"/>
        <v>1.1317074073001741</v>
      </c>
      <c r="I82" s="349">
        <v>131852</v>
      </c>
      <c r="J82" s="231">
        <v>130256</v>
      </c>
      <c r="K82"/>
      <c r="L82" s="84" t="s">
        <v>286</v>
      </c>
      <c r="M82" s="84"/>
      <c r="N82" s="84"/>
      <c r="O82" s="84"/>
      <c r="P82" s="84"/>
      <c r="Q82" s="85">
        <f>E69</f>
        <v>12764037</v>
      </c>
      <c r="R82" s="85">
        <f t="shared" ref="R82:S84" si="18">I69</f>
        <v>12069805</v>
      </c>
      <c r="S82" s="85">
        <f t="shared" si="18"/>
        <v>12552597.200000001</v>
      </c>
      <c r="T82" s="193"/>
      <c r="U82" s="193"/>
      <c r="V82" s="193"/>
      <c r="W82" s="190"/>
      <c r="X82" s="190"/>
      <c r="Y82" s="190"/>
      <c r="Z82" s="190"/>
      <c r="AA82" s="190"/>
      <c r="AB82" s="190"/>
      <c r="AC82" s="190"/>
      <c r="AD82" s="190"/>
      <c r="AE82" s="190"/>
      <c r="AF82" s="190"/>
      <c r="AG82" s="190"/>
    </row>
    <row r="83" spans="1:33" s="5" customFormat="1" x14ac:dyDescent="0.25">
      <c r="A83" s="347" t="s">
        <v>355</v>
      </c>
      <c r="B83" s="348" t="s">
        <v>168</v>
      </c>
      <c r="C83" s="86">
        <v>4034</v>
      </c>
      <c r="D83" s="86">
        <v>3369</v>
      </c>
      <c r="E83" s="86">
        <v>4502</v>
      </c>
      <c r="F83" s="344">
        <f t="shared" si="13"/>
        <v>1.336301573167112</v>
      </c>
      <c r="G83" s="345">
        <f t="shared" si="14"/>
        <v>0.83515121467526032</v>
      </c>
      <c r="H83" s="346">
        <f t="shared" si="15"/>
        <v>1.0857263939211861</v>
      </c>
      <c r="I83" s="349">
        <v>4394</v>
      </c>
      <c r="J83" s="231">
        <v>2301</v>
      </c>
      <c r="K83"/>
      <c r="L83" s="84" t="s">
        <v>287</v>
      </c>
      <c r="M83" s="84"/>
      <c r="N83" s="84"/>
      <c r="O83" s="84"/>
      <c r="P83" s="84"/>
      <c r="Q83" s="85">
        <f>E70</f>
        <v>16847</v>
      </c>
      <c r="R83" s="85">
        <f t="shared" si="18"/>
        <v>18989</v>
      </c>
      <c r="S83" s="85">
        <f t="shared" si="18"/>
        <v>19748.560000000001</v>
      </c>
      <c r="T83" s="193"/>
      <c r="U83" s="193"/>
      <c r="V83" s="193"/>
      <c r="W83" s="190"/>
      <c r="X83" s="190"/>
      <c r="Y83" s="190"/>
      <c r="Z83" s="190"/>
      <c r="AA83" s="190"/>
      <c r="AB83" s="190"/>
      <c r="AC83" s="190"/>
      <c r="AD83" s="190"/>
      <c r="AE83" s="190"/>
      <c r="AF83" s="190"/>
      <c r="AG83" s="190"/>
    </row>
    <row r="84" spans="1:33" s="5" customFormat="1" x14ac:dyDescent="0.25">
      <c r="A84" s="347" t="s">
        <v>356</v>
      </c>
      <c r="B84" s="348" t="s">
        <v>169</v>
      </c>
      <c r="C84" s="86">
        <v>239616</v>
      </c>
      <c r="D84" s="86">
        <v>233398</v>
      </c>
      <c r="E84" s="86">
        <v>228152</v>
      </c>
      <c r="F84" s="344">
        <f t="shared" si="13"/>
        <v>0.97752337209401963</v>
      </c>
      <c r="G84" s="345">
        <f t="shared" si="14"/>
        <v>0.97405014690170943</v>
      </c>
      <c r="H84" s="346">
        <f t="shared" si="15"/>
        <v>0.97578675949786453</v>
      </c>
      <c r="I84" s="349">
        <v>245636</v>
      </c>
      <c r="J84" s="231">
        <f>'[2]DD plán'!B48</f>
        <v>247236</v>
      </c>
      <c r="K84"/>
      <c r="L84" s="84" t="s">
        <v>288</v>
      </c>
      <c r="M84" s="84"/>
      <c r="N84" s="84"/>
      <c r="O84" s="84"/>
      <c r="P84" s="84"/>
      <c r="Q84" s="85">
        <f>E71</f>
        <v>-80886</v>
      </c>
      <c r="R84" s="85">
        <f t="shared" si="18"/>
        <v>87455</v>
      </c>
      <c r="S84" s="85">
        <f t="shared" si="18"/>
        <v>9536</v>
      </c>
      <c r="T84" s="193"/>
      <c r="U84" s="193"/>
      <c r="V84" s="193"/>
      <c r="W84" s="190"/>
      <c r="X84" s="190"/>
      <c r="Y84" s="190"/>
      <c r="Z84" s="190"/>
      <c r="AA84" s="190"/>
      <c r="AB84" s="190"/>
      <c r="AC84" s="190"/>
      <c r="AD84" s="190"/>
      <c r="AE84" s="190"/>
      <c r="AF84" s="190"/>
      <c r="AG84" s="190"/>
    </row>
    <row r="85" spans="1:33" s="5" customFormat="1" x14ac:dyDescent="0.25">
      <c r="A85" s="347" t="s">
        <v>357</v>
      </c>
      <c r="B85" s="348" t="s">
        <v>170</v>
      </c>
      <c r="C85" s="86">
        <v>239616</v>
      </c>
      <c r="D85" s="86">
        <v>233398</v>
      </c>
      <c r="E85" s="86">
        <v>228152</v>
      </c>
      <c r="F85" s="344">
        <f t="shared" si="13"/>
        <v>0.97752337209401963</v>
      </c>
      <c r="G85" s="345">
        <f t="shared" si="14"/>
        <v>0.97405014690170943</v>
      </c>
      <c r="H85" s="346">
        <f t="shared" si="15"/>
        <v>0.97578675949786453</v>
      </c>
      <c r="I85" s="349">
        <v>245626</v>
      </c>
      <c r="J85" s="231">
        <f>J84</f>
        <v>247236</v>
      </c>
      <c r="K85"/>
      <c r="L85" s="363" t="s">
        <v>289</v>
      </c>
      <c r="M85" s="363"/>
      <c r="N85" s="363"/>
      <c r="O85" s="363"/>
      <c r="P85" s="363"/>
      <c r="Q85" s="364">
        <f>SUM(Q82:Q84)</f>
        <v>12699998</v>
      </c>
      <c r="R85" s="364">
        <f>SUM(R82:R84)</f>
        <v>12176249</v>
      </c>
      <c r="S85" s="364">
        <f t="shared" ref="S85" si="19">SUM(S82:S84)</f>
        <v>12581881.760000002</v>
      </c>
      <c r="T85" s="199"/>
      <c r="U85" s="199"/>
      <c r="V85" s="199"/>
      <c r="W85" s="190"/>
      <c r="X85" s="190"/>
      <c r="Y85" s="190"/>
      <c r="Z85" s="190"/>
      <c r="AA85" s="190"/>
      <c r="AB85" s="190"/>
      <c r="AC85" s="190"/>
      <c r="AD85" s="190"/>
      <c r="AE85" s="190"/>
      <c r="AF85" s="190"/>
      <c r="AG85" s="190"/>
    </row>
    <row r="86" spans="1:33" s="5" customFormat="1" x14ac:dyDescent="0.25">
      <c r="A86" s="347" t="s">
        <v>358</v>
      </c>
      <c r="B86" s="348" t="s">
        <v>172</v>
      </c>
      <c r="C86" s="86">
        <v>98937</v>
      </c>
      <c r="D86" s="86">
        <v>122868</v>
      </c>
      <c r="E86" s="86">
        <v>123813</v>
      </c>
      <c r="F86" s="344">
        <f t="shared" si="13"/>
        <v>1.0076911807793729</v>
      </c>
      <c r="G86" s="345">
        <f t="shared" si="14"/>
        <v>1.2418811971254435</v>
      </c>
      <c r="H86" s="346">
        <f t="shared" si="15"/>
        <v>1.1247861889524082</v>
      </c>
      <c r="I86" s="349">
        <v>147144</v>
      </c>
      <c r="J86" s="231">
        <f>I86*1.01</f>
        <v>148615.44</v>
      </c>
      <c r="K86"/>
      <c r="L86" s="84" t="s">
        <v>290</v>
      </c>
      <c r="M86" s="84"/>
      <c r="N86" s="84"/>
      <c r="O86" s="84"/>
      <c r="P86" s="84"/>
      <c r="Q86" s="85">
        <f>E76</f>
        <v>5740209</v>
      </c>
      <c r="R86" s="85">
        <f>I76</f>
        <v>5623323</v>
      </c>
      <c r="S86" s="85">
        <f>J76</f>
        <v>5735789.46</v>
      </c>
      <c r="T86" s="193"/>
      <c r="U86" s="193"/>
      <c r="V86" s="193"/>
      <c r="W86" s="190"/>
      <c r="X86" s="190"/>
      <c r="Y86" s="190"/>
      <c r="Z86" s="190"/>
      <c r="AA86" s="190"/>
      <c r="AB86" s="190"/>
      <c r="AC86" s="190"/>
      <c r="AD86" s="190"/>
      <c r="AE86" s="190"/>
      <c r="AF86" s="190"/>
      <c r="AG86" s="190"/>
    </row>
    <row r="87" spans="1:33" s="5" customFormat="1" x14ac:dyDescent="0.25">
      <c r="A87" s="347" t="s">
        <v>344</v>
      </c>
      <c r="B87" s="348" t="s">
        <v>173</v>
      </c>
      <c r="C87" s="86"/>
      <c r="D87" s="86">
        <v>60842</v>
      </c>
      <c r="E87" s="86"/>
      <c r="F87" s="344">
        <f t="shared" si="13"/>
        <v>0</v>
      </c>
      <c r="G87" s="345" t="e">
        <f t="shared" si="14"/>
        <v>#DIV/0!</v>
      </c>
      <c r="H87" s="346" t="e">
        <f t="shared" si="15"/>
        <v>#DIV/0!</v>
      </c>
      <c r="I87" s="349"/>
      <c r="J87" s="231"/>
      <c r="K87"/>
      <c r="L87" s="84" t="s">
        <v>291</v>
      </c>
      <c r="M87" s="84"/>
      <c r="N87" s="84"/>
      <c r="O87" s="84"/>
      <c r="P87" s="84"/>
      <c r="Q87" s="85">
        <f>E78</f>
        <v>4702691</v>
      </c>
      <c r="R87" s="85">
        <f>I78</f>
        <v>4018340</v>
      </c>
      <c r="S87" s="85">
        <f>J78</f>
        <v>4058523.4</v>
      </c>
      <c r="T87" s="193"/>
      <c r="U87" s="193"/>
      <c r="V87" s="193"/>
      <c r="W87" s="190"/>
      <c r="X87" s="190"/>
      <c r="Y87" s="190"/>
      <c r="Z87" s="190"/>
      <c r="AA87" s="190"/>
      <c r="AB87" s="190"/>
      <c r="AC87" s="190"/>
      <c r="AD87" s="190"/>
      <c r="AE87" s="190"/>
      <c r="AF87" s="190"/>
      <c r="AG87" s="190"/>
    </row>
    <row r="88" spans="1:33" s="5" customFormat="1" x14ac:dyDescent="0.25">
      <c r="A88" s="347" t="s">
        <v>359</v>
      </c>
      <c r="B88" s="348" t="s">
        <v>174</v>
      </c>
      <c r="C88" s="86">
        <v>84354</v>
      </c>
      <c r="D88" s="86">
        <v>109492</v>
      </c>
      <c r="E88" s="86">
        <v>113145</v>
      </c>
      <c r="F88" s="344">
        <f t="shared" si="13"/>
        <v>1.0333631680853397</v>
      </c>
      <c r="G88" s="345">
        <f t="shared" si="14"/>
        <v>1.2980060222396093</v>
      </c>
      <c r="H88" s="346">
        <f t="shared" si="15"/>
        <v>1.1656845951624746</v>
      </c>
      <c r="I88" s="349">
        <v>92465</v>
      </c>
      <c r="J88" s="231">
        <f>I88*0.99</f>
        <v>91540.35</v>
      </c>
      <c r="K88"/>
      <c r="L88" s="84" t="s">
        <v>292</v>
      </c>
      <c r="M88" s="84"/>
      <c r="N88" s="84"/>
      <c r="O88" s="84"/>
      <c r="P88" s="84"/>
      <c r="Q88" s="85">
        <f>E77</f>
        <v>32340</v>
      </c>
      <c r="R88" s="85">
        <f>I77</f>
        <v>57233</v>
      </c>
      <c r="S88" s="85">
        <f>J77</f>
        <v>58377.66</v>
      </c>
      <c r="T88" s="193"/>
      <c r="U88" s="193"/>
      <c r="V88" s="193"/>
      <c r="W88" s="190"/>
      <c r="X88" s="190"/>
      <c r="Y88" s="190"/>
      <c r="Z88" s="190"/>
      <c r="AA88" s="190"/>
      <c r="AB88" s="190"/>
      <c r="AC88" s="190"/>
      <c r="AD88" s="190"/>
      <c r="AE88" s="190"/>
      <c r="AF88" s="190"/>
      <c r="AG88" s="190"/>
    </row>
    <row r="89" spans="1:33" s="5" customFormat="1" x14ac:dyDescent="0.25">
      <c r="A89" s="335" t="s">
        <v>360</v>
      </c>
      <c r="B89" s="362" t="s">
        <v>175</v>
      </c>
      <c r="C89" s="342">
        <v>3451130</v>
      </c>
      <c r="D89" s="342">
        <v>3428946</v>
      </c>
      <c r="E89" s="342">
        <v>4705265</v>
      </c>
      <c r="F89" s="344">
        <f t="shared" si="13"/>
        <v>1.3722190434028416</v>
      </c>
      <c r="G89" s="345">
        <f t="shared" si="14"/>
        <v>0.99357196048830387</v>
      </c>
      <c r="H89" s="346">
        <f t="shared" si="15"/>
        <v>1.1828955019455727</v>
      </c>
      <c r="I89" s="341">
        <v>5446779</v>
      </c>
      <c r="J89" s="342">
        <f t="shared" ref="J89" si="20">J67-J74</f>
        <v>6280886.8900000043</v>
      </c>
      <c r="K89"/>
      <c r="L89" s="363" t="s">
        <v>293</v>
      </c>
      <c r="M89" s="363"/>
      <c r="N89" s="363"/>
      <c r="O89" s="363"/>
      <c r="P89" s="363"/>
      <c r="Q89" s="364">
        <f>SUM(Q86:Q88)</f>
        <v>10475240</v>
      </c>
      <c r="R89" s="364">
        <f>SUM(R86:R88)</f>
        <v>9698896</v>
      </c>
      <c r="S89" s="364">
        <f t="shared" ref="S89" si="21">SUM(S86:S88)</f>
        <v>9852690.5199999996</v>
      </c>
      <c r="T89" s="199"/>
      <c r="U89" s="199"/>
      <c r="V89" s="199"/>
      <c r="W89" s="190"/>
      <c r="X89" s="190"/>
      <c r="Y89" s="190"/>
      <c r="Z89" s="190"/>
      <c r="AA89" s="190"/>
      <c r="AB89" s="190"/>
      <c r="AC89" s="190"/>
      <c r="AD89" s="190"/>
      <c r="AE89" s="190"/>
      <c r="AF89" s="190"/>
      <c r="AG89" s="190"/>
    </row>
    <row r="90" spans="1:33" s="5" customFormat="1" x14ac:dyDescent="0.25">
      <c r="A90" s="335" t="s">
        <v>342</v>
      </c>
      <c r="B90" s="343" t="s">
        <v>176</v>
      </c>
      <c r="C90" s="342">
        <v>6361553</v>
      </c>
      <c r="D90" s="342">
        <v>6901942</v>
      </c>
      <c r="E90" s="342">
        <v>8531389</v>
      </c>
      <c r="F90" s="344">
        <f t="shared" si="13"/>
        <v>1.2360852930957693</v>
      </c>
      <c r="G90" s="345">
        <f t="shared" si="14"/>
        <v>1.0849460815621594</v>
      </c>
      <c r="H90" s="346">
        <f t="shared" si="15"/>
        <v>1.1605156873289644</v>
      </c>
      <c r="I90" s="341">
        <v>8869160</v>
      </c>
      <c r="J90" s="342">
        <f>S90</f>
        <v>9752724.6700000055</v>
      </c>
      <c r="K90"/>
      <c r="L90" s="365" t="s">
        <v>282</v>
      </c>
      <c r="M90" s="365"/>
      <c r="N90" s="365"/>
      <c r="O90" s="365"/>
      <c r="P90" s="365"/>
      <c r="Q90" s="351">
        <f>Q81+Q85-Q89</f>
        <v>8531389</v>
      </c>
      <c r="R90" s="351">
        <f>R81+R85-R89</f>
        <v>8869114</v>
      </c>
      <c r="S90" s="351">
        <f t="shared" ref="S90" si="22">S81+S85-S89</f>
        <v>9752724.6700000055</v>
      </c>
      <c r="T90" s="200"/>
      <c r="U90" s="200"/>
      <c r="V90" s="200"/>
      <c r="W90" s="190"/>
      <c r="X90" s="190"/>
      <c r="Y90" s="190"/>
      <c r="Z90" s="190"/>
      <c r="AA90" s="190"/>
      <c r="AB90" s="190"/>
      <c r="AC90" s="190"/>
      <c r="AD90" s="190"/>
      <c r="AE90" s="190"/>
      <c r="AF90" s="190"/>
      <c r="AG90" s="190"/>
    </row>
    <row r="91" spans="1:33" s="5" customFormat="1" x14ac:dyDescent="0.25">
      <c r="A91" s="335" t="s">
        <v>343</v>
      </c>
      <c r="B91" s="343" t="s">
        <v>177</v>
      </c>
      <c r="C91" s="342">
        <v>85004</v>
      </c>
      <c r="D91" s="342">
        <v>21695</v>
      </c>
      <c r="E91" s="342">
        <v>181098</v>
      </c>
      <c r="F91" s="344">
        <f t="shared" si="13"/>
        <v>8.3474533302604286</v>
      </c>
      <c r="G91" s="345">
        <f t="shared" si="14"/>
        <v>0.25522328361018304</v>
      </c>
      <c r="H91" s="346">
        <f t="shared" si="15"/>
        <v>4.3013383069353059</v>
      </c>
      <c r="I91" s="341">
        <v>144115</v>
      </c>
      <c r="J91" s="342">
        <f>J92</f>
        <v>145556.15</v>
      </c>
      <c r="K91"/>
      <c r="L91"/>
      <c r="M91"/>
      <c r="N91"/>
      <c r="O91"/>
      <c r="P91"/>
      <c r="Q91"/>
      <c r="R91"/>
      <c r="S91"/>
      <c r="T91"/>
      <c r="U91" s="190"/>
      <c r="V91" s="190"/>
      <c r="W91" s="190"/>
      <c r="X91" s="190"/>
      <c r="Y91" s="190"/>
      <c r="Z91" s="190"/>
      <c r="AA91" s="190"/>
      <c r="AB91" s="190"/>
      <c r="AC91" s="190"/>
      <c r="AD91" s="190"/>
      <c r="AE91" s="190"/>
      <c r="AF91" s="190"/>
      <c r="AG91" s="190"/>
    </row>
    <row r="92" spans="1:33" s="5" customFormat="1" x14ac:dyDescent="0.25">
      <c r="A92" s="347" t="s">
        <v>361</v>
      </c>
      <c r="B92" s="348" t="s">
        <v>190</v>
      </c>
      <c r="C92" s="86">
        <v>85004</v>
      </c>
      <c r="D92" s="86">
        <v>21695</v>
      </c>
      <c r="E92" s="86">
        <v>181098</v>
      </c>
      <c r="F92" s="344">
        <f t="shared" si="13"/>
        <v>8.3474533302604286</v>
      </c>
      <c r="G92" s="345">
        <f t="shared" si="14"/>
        <v>0.25522328361018304</v>
      </c>
      <c r="H92" s="346">
        <f t="shared" si="15"/>
        <v>4.3013383069353059</v>
      </c>
      <c r="I92" s="349">
        <v>144115</v>
      </c>
      <c r="J92" s="85">
        <f>I92*1.01</f>
        <v>145556.15</v>
      </c>
      <c r="K92" s="190"/>
      <c r="L92" s="190"/>
      <c r="M92" s="190"/>
      <c r="N92" s="190"/>
      <c r="O92" s="190"/>
      <c r="P92" s="190"/>
      <c r="Q92" s="190"/>
      <c r="R92" s="190"/>
      <c r="S92" s="190"/>
      <c r="T92"/>
      <c r="U92" s="190"/>
      <c r="V92" s="190"/>
      <c r="W92" s="190"/>
      <c r="X92" s="190"/>
      <c r="Y92" s="190"/>
      <c r="Z92" s="190"/>
      <c r="AA92" s="190"/>
      <c r="AB92" s="190"/>
      <c r="AC92" s="190"/>
      <c r="AD92" s="190"/>
      <c r="AE92" s="190"/>
      <c r="AF92" s="190"/>
      <c r="AG92" s="190"/>
    </row>
    <row r="93" spans="1:33" s="5" customFormat="1" x14ac:dyDescent="0.25">
      <c r="A93" s="335" t="s">
        <v>362</v>
      </c>
      <c r="B93" s="343" t="s">
        <v>193</v>
      </c>
      <c r="C93" s="342">
        <v>60138</v>
      </c>
      <c r="D93" s="342">
        <v>79654</v>
      </c>
      <c r="E93" s="342">
        <v>117103</v>
      </c>
      <c r="F93" s="344">
        <f t="shared" si="13"/>
        <v>1.4701458809350441</v>
      </c>
      <c r="G93" s="345">
        <f t="shared" si="14"/>
        <v>1.3245202700455618</v>
      </c>
      <c r="H93" s="346">
        <f t="shared" si="15"/>
        <v>1.3973330754903031</v>
      </c>
      <c r="I93" s="341">
        <v>110901</v>
      </c>
      <c r="J93" s="342">
        <f>SUM(J94:J96)</f>
        <v>113615.31</v>
      </c>
      <c r="K93" s="190"/>
      <c r="L93" s="372"/>
      <c r="M93" s="190"/>
      <c r="N93" s="190"/>
      <c r="O93" s="190"/>
      <c r="P93" s="190"/>
      <c r="Q93" s="190"/>
      <c r="R93" s="190"/>
      <c r="S93" s="190"/>
      <c r="T93"/>
      <c r="U93" s="190"/>
      <c r="V93" s="190"/>
      <c r="W93" s="190"/>
      <c r="X93" s="190"/>
      <c r="Y93" s="190"/>
      <c r="Z93" s="190"/>
      <c r="AA93" s="190"/>
      <c r="AB93" s="190"/>
      <c r="AC93" s="190"/>
      <c r="AD93" s="190"/>
      <c r="AE93" s="190"/>
      <c r="AF93" s="190"/>
      <c r="AG93" s="190"/>
    </row>
    <row r="94" spans="1:33" s="5" customFormat="1" x14ac:dyDescent="0.25">
      <c r="A94" s="347" t="s">
        <v>363</v>
      </c>
      <c r="B94" s="348" t="s">
        <v>197</v>
      </c>
      <c r="C94" s="86"/>
      <c r="D94" s="86"/>
      <c r="E94" s="86"/>
      <c r="F94" s="344" t="e">
        <f t="shared" si="13"/>
        <v>#DIV/0!</v>
      </c>
      <c r="G94" s="345" t="e">
        <f t="shared" si="14"/>
        <v>#DIV/0!</v>
      </c>
      <c r="H94" s="346" t="e">
        <f t="shared" si="15"/>
        <v>#DIV/0!</v>
      </c>
      <c r="I94" s="349"/>
      <c r="J94" s="85">
        <f>'[2]Investičný projekt I'!D19</f>
        <v>2610</v>
      </c>
      <c r="K94" s="190"/>
      <c r="L94" s="190"/>
      <c r="M94" s="190"/>
      <c r="N94" s="191"/>
      <c r="O94" s="191"/>
      <c r="P94" s="191"/>
      <c r="Q94" s="191"/>
      <c r="R94" s="190"/>
      <c r="S94" s="190"/>
      <c r="T94"/>
      <c r="U94" s="190"/>
      <c r="V94" s="190"/>
      <c r="W94" s="190"/>
      <c r="X94" s="190"/>
      <c r="Y94" s="190"/>
      <c r="Z94" s="190"/>
      <c r="AA94" s="190"/>
      <c r="AB94" s="190"/>
      <c r="AC94" s="190"/>
      <c r="AD94" s="190"/>
      <c r="AE94" s="190"/>
      <c r="AF94" s="190"/>
      <c r="AG94" s="190"/>
    </row>
    <row r="95" spans="1:33" s="5" customFormat="1" x14ac:dyDescent="0.25">
      <c r="A95" s="347" t="s">
        <v>364</v>
      </c>
      <c r="B95" s="348" t="s">
        <v>200</v>
      </c>
      <c r="C95" s="86">
        <v>50136</v>
      </c>
      <c r="D95" s="86">
        <v>70174</v>
      </c>
      <c r="E95" s="86">
        <v>105804</v>
      </c>
      <c r="F95" s="344">
        <f t="shared" si="13"/>
        <v>1.5077379086271268</v>
      </c>
      <c r="G95" s="345">
        <f t="shared" si="14"/>
        <v>1.3996728897399076</v>
      </c>
      <c r="H95" s="346">
        <f t="shared" si="15"/>
        <v>1.4537053991835172</v>
      </c>
      <c r="I95" s="349">
        <v>94156</v>
      </c>
      <c r="J95" s="85">
        <f>I95*1.01</f>
        <v>95097.56</v>
      </c>
      <c r="K95" s="190"/>
      <c r="L95" s="190"/>
      <c r="M95" s="192"/>
      <c r="N95" s="193"/>
      <c r="O95" s="193"/>
      <c r="P95" s="193"/>
      <c r="Q95" s="193"/>
      <c r="R95" s="190"/>
      <c r="S95" s="190"/>
      <c r="T95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0"/>
    </row>
    <row r="96" spans="1:33" s="5" customFormat="1" x14ac:dyDescent="0.25">
      <c r="A96" s="347" t="s">
        <v>365</v>
      </c>
      <c r="B96" s="348" t="s">
        <v>202</v>
      </c>
      <c r="C96" s="86">
        <v>10002</v>
      </c>
      <c r="D96" s="86">
        <v>9480</v>
      </c>
      <c r="E96" s="86">
        <v>11299</v>
      </c>
      <c r="F96" s="344">
        <f t="shared" si="13"/>
        <v>1.1918776371308017</v>
      </c>
      <c r="G96" s="345">
        <f t="shared" si="14"/>
        <v>0.94781043791241748</v>
      </c>
      <c r="H96" s="346">
        <f t="shared" si="15"/>
        <v>1.0698440375216096</v>
      </c>
      <c r="I96" s="349">
        <v>16745</v>
      </c>
      <c r="J96" s="85">
        <f>I96*0.95</f>
        <v>15907.75</v>
      </c>
      <c r="K96" s="190"/>
      <c r="L96" s="190"/>
      <c r="M96" s="194"/>
      <c r="N96" s="193"/>
      <c r="O96" s="193"/>
      <c r="P96" s="193"/>
      <c r="Q96" s="193"/>
      <c r="R96" s="190"/>
      <c r="S96" s="190"/>
      <c r="T96"/>
      <c r="U96" s="190"/>
      <c r="V96" s="190"/>
      <c r="W96" s="190"/>
      <c r="X96" s="190"/>
      <c r="Y96" s="190"/>
      <c r="Z96" s="190"/>
      <c r="AA96" s="190"/>
      <c r="AB96" s="190"/>
      <c r="AC96" s="190"/>
      <c r="AD96" s="190"/>
      <c r="AE96" s="190"/>
      <c r="AF96" s="190"/>
      <c r="AG96" s="190"/>
    </row>
    <row r="97" spans="1:33" s="5" customFormat="1" x14ac:dyDescent="0.25">
      <c r="A97" s="335" t="s">
        <v>360</v>
      </c>
      <c r="B97" s="343" t="s">
        <v>203</v>
      </c>
      <c r="C97" s="342">
        <v>24866</v>
      </c>
      <c r="D97" s="342">
        <v>-57959</v>
      </c>
      <c r="E97" s="342">
        <v>63995</v>
      </c>
      <c r="F97" s="344">
        <f t="shared" si="13"/>
        <v>-1.1041425835504408</v>
      </c>
      <c r="G97" s="345">
        <f t="shared" si="14"/>
        <v>-2.3308533740850961</v>
      </c>
      <c r="H97" s="346">
        <f t="shared" si="15"/>
        <v>-1.7174979788177684</v>
      </c>
      <c r="I97" s="341">
        <v>33214</v>
      </c>
      <c r="J97" s="342">
        <f>J91-J93</f>
        <v>31940.839999999997</v>
      </c>
      <c r="K97" s="190"/>
      <c r="L97" s="190"/>
      <c r="M97" s="194"/>
      <c r="N97" s="193"/>
      <c r="O97" s="193"/>
      <c r="P97" s="193"/>
      <c r="Q97" s="193"/>
      <c r="R97" s="190"/>
      <c r="S97" s="190"/>
      <c r="T97"/>
      <c r="U97" s="190"/>
      <c r="V97" s="190"/>
      <c r="W97" s="190"/>
      <c r="X97" s="190"/>
      <c r="Y97" s="190"/>
      <c r="Z97" s="190"/>
      <c r="AA97" s="190"/>
      <c r="AB97" s="190"/>
      <c r="AC97" s="190"/>
      <c r="AD97" s="190"/>
      <c r="AE97" s="190"/>
      <c r="AF97" s="190"/>
      <c r="AG97" s="190"/>
    </row>
    <row r="98" spans="1:33" x14ac:dyDescent="0.25">
      <c r="A98" s="335" t="s">
        <v>366</v>
      </c>
      <c r="B98" s="343" t="s">
        <v>204</v>
      </c>
      <c r="C98" s="342">
        <v>3475996</v>
      </c>
      <c r="D98" s="342">
        <v>3370987</v>
      </c>
      <c r="E98" s="342">
        <v>4769260</v>
      </c>
      <c r="F98" s="344">
        <f t="shared" si="13"/>
        <v>1.4147963192975825</v>
      </c>
      <c r="G98" s="345">
        <f t="shared" si="14"/>
        <v>0.96979024141569781</v>
      </c>
      <c r="H98" s="346">
        <f t="shared" si="15"/>
        <v>1.1922932803566402</v>
      </c>
      <c r="I98" s="341">
        <v>5479993</v>
      </c>
      <c r="J98" s="342">
        <f t="shared" ref="J98" si="23">J97+J89</f>
        <v>6312827.7300000042</v>
      </c>
      <c r="K98" s="190"/>
      <c r="L98" s="190"/>
      <c r="M98" s="194"/>
      <c r="N98" s="193"/>
      <c r="O98" s="193"/>
      <c r="P98" s="193"/>
      <c r="Q98" s="193"/>
      <c r="R98" s="190"/>
      <c r="S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</row>
    <row r="99" spans="1:33" x14ac:dyDescent="0.25">
      <c r="A99" s="347" t="s">
        <v>367</v>
      </c>
      <c r="B99" s="348" t="s">
        <v>205</v>
      </c>
      <c r="C99" s="86">
        <v>784823</v>
      </c>
      <c r="D99" s="86">
        <v>721334</v>
      </c>
      <c r="E99" s="86">
        <v>1129167</v>
      </c>
      <c r="F99" s="344">
        <f t="shared" si="13"/>
        <v>1.5653871854092556</v>
      </c>
      <c r="G99" s="345">
        <f t="shared" si="14"/>
        <v>0.91910405276094098</v>
      </c>
      <c r="H99" s="346">
        <f t="shared" si="15"/>
        <v>1.2422456190850983</v>
      </c>
      <c r="I99" s="349">
        <v>943365</v>
      </c>
      <c r="J99" s="85">
        <f t="shared" ref="J99" si="24">J98*23%</f>
        <v>1451950.3779000011</v>
      </c>
      <c r="K99" s="190"/>
      <c r="L99" s="190"/>
      <c r="M99" s="194"/>
      <c r="N99" s="193"/>
      <c r="O99" s="193"/>
      <c r="P99" s="193"/>
      <c r="Q99" s="193"/>
      <c r="R99" s="190"/>
      <c r="S99" s="190"/>
      <c r="U99" s="190"/>
      <c r="V99" s="190"/>
      <c r="W99" s="190"/>
      <c r="X99" s="190"/>
      <c r="Y99" s="190"/>
      <c r="Z99" s="190"/>
      <c r="AA99" s="190"/>
      <c r="AB99" s="190"/>
      <c r="AC99" s="190"/>
      <c r="AD99" s="190"/>
      <c r="AE99" s="190"/>
      <c r="AF99" s="190"/>
      <c r="AG99" s="190"/>
    </row>
    <row r="100" spans="1:33" x14ac:dyDescent="0.25">
      <c r="A100" s="347" t="s">
        <v>368</v>
      </c>
      <c r="B100" s="348" t="s">
        <v>206</v>
      </c>
      <c r="C100" s="86">
        <v>766552</v>
      </c>
      <c r="D100" s="86">
        <v>708616</v>
      </c>
      <c r="E100" s="86">
        <v>1143241</v>
      </c>
      <c r="F100" s="344">
        <f t="shared" si="13"/>
        <v>1.6133434751684974</v>
      </c>
      <c r="G100" s="345">
        <f t="shared" si="14"/>
        <v>0.92442000020872683</v>
      </c>
      <c r="H100" s="346">
        <f t="shared" si="15"/>
        <v>1.2688817376886121</v>
      </c>
      <c r="I100" s="349">
        <v>1138368</v>
      </c>
      <c r="J100" s="85">
        <f t="shared" ref="J100" si="25">J99</f>
        <v>1451950.3779000011</v>
      </c>
      <c r="K100" s="190"/>
      <c r="L100" s="190"/>
      <c r="M100" s="194"/>
      <c r="N100" s="193"/>
      <c r="O100" s="193"/>
      <c r="P100" s="193"/>
      <c r="Q100" s="193"/>
      <c r="R100" s="190"/>
      <c r="S100" s="190"/>
      <c r="U100" s="190"/>
      <c r="V100" s="190"/>
      <c r="W100" s="190"/>
      <c r="X100" s="190"/>
      <c r="Y100" s="190"/>
      <c r="Z100" s="190"/>
      <c r="AA100" s="190"/>
      <c r="AB100" s="190"/>
      <c r="AC100" s="190"/>
      <c r="AD100" s="190"/>
      <c r="AE100" s="190"/>
      <c r="AF100" s="190"/>
      <c r="AG100" s="190"/>
    </row>
    <row r="101" spans="1:33" x14ac:dyDescent="0.25">
      <c r="A101" s="347" t="s">
        <v>308</v>
      </c>
      <c r="B101" s="348" t="s">
        <v>207</v>
      </c>
      <c r="C101" s="86">
        <v>18271</v>
      </c>
      <c r="D101" s="86">
        <v>12718</v>
      </c>
      <c r="E101" s="86">
        <v>-14074</v>
      </c>
      <c r="F101" s="344">
        <f t="shared" si="13"/>
        <v>-1.1066205378204119</v>
      </c>
      <c r="G101" s="345">
        <f t="shared" si="14"/>
        <v>0.69607574845383391</v>
      </c>
      <c r="H101" s="346">
        <f t="shared" si="15"/>
        <v>-0.20527239468328901</v>
      </c>
      <c r="I101" s="349">
        <v>-195003</v>
      </c>
      <c r="J101" s="85"/>
      <c r="K101" s="190"/>
      <c r="L101" s="190"/>
      <c r="M101" s="192"/>
      <c r="N101" s="190"/>
      <c r="O101" s="190"/>
      <c r="P101" s="190"/>
      <c r="Q101" s="190"/>
      <c r="R101" s="190"/>
      <c r="S101" s="190"/>
      <c r="U101" s="190"/>
      <c r="V101" s="190"/>
      <c r="W101" s="190"/>
      <c r="X101" s="190"/>
      <c r="Y101" s="190"/>
      <c r="Z101" s="190"/>
      <c r="AA101" s="190"/>
      <c r="AB101" s="190"/>
      <c r="AC101" s="190"/>
      <c r="AD101" s="190"/>
      <c r="AE101" s="190"/>
      <c r="AF101" s="190"/>
      <c r="AG101" s="190"/>
    </row>
    <row r="102" spans="1:33" x14ac:dyDescent="0.25">
      <c r="A102" s="335" t="s">
        <v>366</v>
      </c>
      <c r="B102" s="343" t="s">
        <v>108</v>
      </c>
      <c r="C102" s="342">
        <v>2691173</v>
      </c>
      <c r="D102" s="342">
        <v>2649653</v>
      </c>
      <c r="E102" s="342">
        <v>3640093</v>
      </c>
      <c r="F102" s="344">
        <f t="shared" si="13"/>
        <v>1.373799890023335</v>
      </c>
      <c r="G102" s="345">
        <f t="shared" si="14"/>
        <v>0.98457178338219065</v>
      </c>
      <c r="H102" s="346">
        <f t="shared" si="15"/>
        <v>1.1791858367027628</v>
      </c>
      <c r="I102" s="341">
        <v>4536628</v>
      </c>
      <c r="J102" s="342">
        <f t="shared" ref="J102" si="26">J98-J99</f>
        <v>4860877.3521000035</v>
      </c>
      <c r="K102" s="190"/>
      <c r="L102" s="193">
        <f>J102-I102</f>
        <v>324249.35210000351</v>
      </c>
      <c r="M102" s="194"/>
      <c r="N102" s="193"/>
      <c r="O102" s="193"/>
      <c r="P102" s="193"/>
      <c r="Q102" s="193"/>
      <c r="R102" s="195"/>
      <c r="S102" s="190"/>
      <c r="U102" s="190"/>
      <c r="V102" s="190"/>
      <c r="W102" s="190"/>
      <c r="X102" s="190"/>
      <c r="Y102" s="190"/>
      <c r="Z102" s="190"/>
      <c r="AA102" s="190"/>
      <c r="AB102" s="190"/>
      <c r="AC102" s="190"/>
      <c r="AD102" s="190"/>
      <c r="AE102" s="190"/>
      <c r="AF102" s="190"/>
      <c r="AG102" s="190"/>
    </row>
    <row r="103" spans="1:33" x14ac:dyDescent="0.25">
      <c r="C103" s="187"/>
      <c r="K103" s="190"/>
      <c r="L103" s="190"/>
      <c r="M103" s="192"/>
      <c r="N103" s="193"/>
      <c r="O103" s="193"/>
      <c r="P103" s="193"/>
      <c r="Q103" s="193"/>
      <c r="R103" s="190"/>
      <c r="S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0"/>
      <c r="AG103" s="190"/>
    </row>
    <row r="104" spans="1:33" x14ac:dyDescent="0.25">
      <c r="K104" s="190"/>
      <c r="L104" s="190"/>
      <c r="M104" s="194"/>
      <c r="N104" s="190"/>
      <c r="O104" s="190"/>
      <c r="P104" s="190"/>
      <c r="Q104" s="190"/>
      <c r="R104" s="190"/>
      <c r="S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0"/>
      <c r="AG104" s="190"/>
    </row>
    <row r="105" spans="1:33" x14ac:dyDescent="0.25">
      <c r="K105" s="190"/>
      <c r="L105" s="190"/>
      <c r="M105" s="192"/>
      <c r="N105" s="193"/>
      <c r="O105" s="193"/>
      <c r="P105" s="193"/>
      <c r="Q105" s="193"/>
      <c r="R105" s="190"/>
      <c r="S105" s="190"/>
    </row>
    <row r="106" spans="1:33" x14ac:dyDescent="0.25">
      <c r="K106" s="190"/>
      <c r="L106" s="190"/>
      <c r="M106" s="194"/>
      <c r="N106" s="193"/>
      <c r="O106" s="193"/>
      <c r="P106" s="193"/>
      <c r="Q106" s="193"/>
      <c r="R106" s="190"/>
      <c r="S106" s="190"/>
    </row>
    <row r="107" spans="1:33" x14ac:dyDescent="0.25">
      <c r="K107" s="190"/>
      <c r="L107" s="190"/>
      <c r="M107" s="194"/>
      <c r="N107" s="193"/>
      <c r="O107" s="193"/>
      <c r="P107" s="193"/>
      <c r="Q107" s="193"/>
      <c r="R107" s="190"/>
      <c r="S107" s="190"/>
    </row>
    <row r="108" spans="1:33" x14ac:dyDescent="0.25">
      <c r="K108" s="190"/>
      <c r="L108" s="190"/>
      <c r="M108" s="194"/>
      <c r="N108" s="190"/>
      <c r="O108" s="190"/>
      <c r="P108" s="190"/>
      <c r="Q108" s="190"/>
      <c r="R108" s="190"/>
      <c r="S108" s="190"/>
    </row>
    <row r="109" spans="1:33" x14ac:dyDescent="0.25">
      <c r="K109" s="190"/>
      <c r="L109" s="190"/>
      <c r="M109" s="194"/>
      <c r="N109" s="190"/>
      <c r="O109" s="190"/>
      <c r="P109" s="190"/>
      <c r="Q109" s="196"/>
      <c r="R109" s="190"/>
      <c r="S109" s="190"/>
    </row>
    <row r="110" spans="1:33" x14ac:dyDescent="0.25">
      <c r="K110" s="190"/>
      <c r="L110" s="190"/>
      <c r="M110" s="194"/>
      <c r="N110" s="193"/>
      <c r="O110" s="193"/>
      <c r="P110" s="193"/>
      <c r="Q110" s="193"/>
      <c r="R110" s="190"/>
      <c r="S110" s="190"/>
    </row>
    <row r="111" spans="1:33" x14ac:dyDescent="0.25">
      <c r="K111" s="190"/>
      <c r="L111" s="190"/>
      <c r="M111" s="194"/>
      <c r="N111" s="193"/>
      <c r="O111" s="193"/>
      <c r="P111" s="193"/>
      <c r="Q111" s="193"/>
      <c r="R111" s="195"/>
      <c r="S111" s="190"/>
    </row>
    <row r="112" spans="1:33" x14ac:dyDescent="0.25">
      <c r="K112" s="190"/>
      <c r="L112" s="190"/>
      <c r="M112" s="192"/>
      <c r="N112" s="193"/>
      <c r="O112" s="193"/>
      <c r="P112" s="193"/>
      <c r="Q112" s="193"/>
      <c r="R112" s="190"/>
      <c r="S112" s="190"/>
    </row>
    <row r="113" spans="11:19" x14ac:dyDescent="0.25">
      <c r="K113" s="190"/>
      <c r="L113" s="190"/>
      <c r="M113" s="197"/>
      <c r="N113" s="193"/>
      <c r="O113" s="193"/>
      <c r="P113" s="193"/>
      <c r="Q113" s="193"/>
      <c r="R113" s="190"/>
      <c r="S113" s="190"/>
    </row>
  </sheetData>
  <mergeCells count="1">
    <mergeCell ref="M2:O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908B-708E-47D4-B0F3-048D4AC1E1F2}">
  <sheetPr>
    <tabColor theme="9" tint="-0.499984740745262"/>
  </sheetPr>
  <dimension ref="A1:J36"/>
  <sheetViews>
    <sheetView workbookViewId="0">
      <selection activeCell="M16" sqref="M16"/>
    </sheetView>
  </sheetViews>
  <sheetFormatPr defaultRowHeight="15" x14ac:dyDescent="0.25"/>
  <cols>
    <col min="1" max="1" width="39" bestFit="1" customWidth="1"/>
    <col min="2" max="2" width="9.140625" customWidth="1"/>
    <col min="5" max="6" width="9.140625" customWidth="1"/>
    <col min="7" max="7" width="11.140625" bestFit="1" customWidth="1"/>
    <col min="9" max="9" width="10.42578125" bestFit="1" customWidth="1"/>
  </cols>
  <sheetData>
    <row r="1" spans="1:10" x14ac:dyDescent="0.25">
      <c r="A1" s="7"/>
      <c r="B1" s="8">
        <v>2020</v>
      </c>
      <c r="C1" s="8">
        <v>2021</v>
      </c>
      <c r="D1" s="8">
        <v>2022</v>
      </c>
      <c r="E1" s="98" t="s">
        <v>297</v>
      </c>
      <c r="F1" s="98" t="s">
        <v>298</v>
      </c>
      <c r="G1" s="98"/>
      <c r="H1" s="98"/>
      <c r="I1" s="98"/>
      <c r="J1" s="98"/>
    </row>
    <row r="2" spans="1:10" x14ac:dyDescent="0.25">
      <c r="A2" s="407" t="s">
        <v>219</v>
      </c>
      <c r="B2" s="407"/>
      <c r="C2" s="19"/>
      <c r="D2" s="19"/>
      <c r="E2" s="98" t="s">
        <v>294</v>
      </c>
      <c r="F2" s="98" t="s">
        <v>294</v>
      </c>
      <c r="G2" s="98"/>
      <c r="H2" s="98"/>
      <c r="I2" s="98"/>
      <c r="J2" s="98"/>
    </row>
    <row r="3" spans="1:10" x14ac:dyDescent="0.25">
      <c r="A3" s="9" t="s">
        <v>222</v>
      </c>
      <c r="B3" s="10">
        <v>0.55000000000000004</v>
      </c>
      <c r="C3" s="10">
        <f>'PR 2021'!D4</f>
        <v>0.60247175773363859</v>
      </c>
      <c r="D3" s="10">
        <f>'Simulácia VZaS'!J102/'Simulácia VZaS'!J36</f>
        <v>0.62301453255446448</v>
      </c>
      <c r="E3" s="14">
        <f>C3-B3</f>
        <v>5.2471757733638547E-2</v>
      </c>
      <c r="F3" s="14">
        <f>D3-C3</f>
        <v>2.0542774820825893E-2</v>
      </c>
      <c r="G3" s="112"/>
      <c r="H3" s="98"/>
      <c r="I3" s="98"/>
      <c r="J3" s="98"/>
    </row>
    <row r="4" spans="1:10" x14ac:dyDescent="0.25">
      <c r="A4" s="407" t="s">
        <v>218</v>
      </c>
      <c r="B4" s="407"/>
      <c r="C4" s="19"/>
      <c r="D4" s="19"/>
      <c r="E4" s="406" t="s">
        <v>295</v>
      </c>
      <c r="F4" s="406"/>
      <c r="G4" s="406"/>
      <c r="H4" s="406"/>
      <c r="I4" s="98" t="s">
        <v>297</v>
      </c>
      <c r="J4" s="98" t="s">
        <v>298</v>
      </c>
    </row>
    <row r="5" spans="1:10" x14ac:dyDescent="0.25">
      <c r="A5" s="9" t="s">
        <v>223</v>
      </c>
      <c r="B5" s="94">
        <v>0.12640000000000001</v>
      </c>
      <c r="C5" s="10">
        <v>0.15705</v>
      </c>
      <c r="D5" s="10">
        <v>0.16089999999999999</v>
      </c>
      <c r="E5" s="112">
        <f>[3]Hárok1!$H$9</f>
        <v>0.12499956863728984</v>
      </c>
      <c r="F5" s="99">
        <f>[3]Hárok1!$J$9</f>
        <v>2.3810111540402104</v>
      </c>
      <c r="G5" s="112">
        <f>[3]Hárok1!$I$9</f>
        <v>1.4849225897537857E-2</v>
      </c>
      <c r="H5" s="99">
        <f>[3]Hárok1!$K$9</f>
        <v>0.72284421296795665</v>
      </c>
      <c r="I5" s="113">
        <f t="shared" ref="I5:J7" si="0">C5-B5</f>
        <v>3.0649999999999983E-2</v>
      </c>
      <c r="J5" s="113">
        <f t="shared" si="0"/>
        <v>3.8499999999999923E-3</v>
      </c>
    </row>
    <row r="6" spans="1:10" x14ac:dyDescent="0.25">
      <c r="A6" s="9" t="s">
        <v>246</v>
      </c>
      <c r="B6" s="94">
        <v>0.37609999999999999</v>
      </c>
      <c r="C6" s="10">
        <v>0.38155</v>
      </c>
      <c r="D6" s="10">
        <v>0.38725999999999999</v>
      </c>
      <c r="E6" s="112">
        <f>[3]Hárok1!$H$10</f>
        <v>-8.2696325047136657E-3</v>
      </c>
      <c r="F6" s="99">
        <f>[3]Hárok1!$J$10</f>
        <v>-0.15752124145861074</v>
      </c>
      <c r="G6" s="112">
        <f>[3]Hárok1!$I$10</f>
        <v>-9.0923676824529696E-3</v>
      </c>
      <c r="H6" s="99">
        <f>[3]Hárok1!$K$10</f>
        <v>-0.44260659826905602</v>
      </c>
      <c r="I6" s="114">
        <f t="shared" si="0"/>
        <v>5.4500000000000104E-3</v>
      </c>
      <c r="J6" s="114">
        <f t="shared" si="0"/>
        <v>5.7099999999999929E-3</v>
      </c>
    </row>
    <row r="7" spans="1:10" x14ac:dyDescent="0.25">
      <c r="A7" s="9" t="s">
        <v>224</v>
      </c>
      <c r="B7" s="94">
        <v>0.61119999999999997</v>
      </c>
      <c r="C7" s="10">
        <v>0.68320000000000003</v>
      </c>
      <c r="D7" s="10">
        <v>0.66691</v>
      </c>
      <c r="E7" s="112">
        <f>[3]Hárok1!$H$11</f>
        <v>-6.4231413215039751E-2</v>
      </c>
      <c r="F7" s="99">
        <f>[3]Hárok1!$J$11</f>
        <v>-1.2234899125815997</v>
      </c>
      <c r="G7" s="112">
        <f>[3]Hárok1!$I$11</f>
        <v>1.4785916605741016E-2</v>
      </c>
      <c r="H7" s="99">
        <f>[3]Hárok1!$K$11</f>
        <v>0.71976238530109937</v>
      </c>
      <c r="I7" s="115">
        <f t="shared" si="0"/>
        <v>7.2000000000000064E-2</v>
      </c>
      <c r="J7" s="115">
        <f t="shared" si="0"/>
        <v>-1.6290000000000027E-2</v>
      </c>
    </row>
    <row r="8" spans="1:10" x14ac:dyDescent="0.25">
      <c r="A8" s="407" t="s">
        <v>220</v>
      </c>
      <c r="B8" s="407"/>
      <c r="C8" s="19"/>
      <c r="D8" s="19"/>
      <c r="E8" s="14">
        <f>SUM(E5:E7)</f>
        <v>5.2498522917536428E-2</v>
      </c>
      <c r="F8" s="100">
        <f>SUM(F5:F7)</f>
        <v>0.99999999999999978</v>
      </c>
      <c r="G8" s="14">
        <f>SUM(G5:G7)</f>
        <v>2.0542774820825904E-2</v>
      </c>
      <c r="H8" s="100">
        <f>SUM(H5:H7)</f>
        <v>1</v>
      </c>
      <c r="I8" s="98"/>
      <c r="J8" s="98"/>
    </row>
    <row r="9" spans="1:10" x14ac:dyDescent="0.25">
      <c r="A9" s="9" t="s">
        <v>225</v>
      </c>
      <c r="B9" s="94">
        <v>0.77359999999999995</v>
      </c>
      <c r="C9" s="10">
        <v>0.82984999999999998</v>
      </c>
      <c r="D9" s="10">
        <f>[4]Hárok1!$E$10</f>
        <v>0.77391576018335206</v>
      </c>
      <c r="E9" s="112">
        <f>[4]Hárok1!$H$10</f>
        <v>1.0431527902205445E-2</v>
      </c>
      <c r="F9" s="99">
        <f>[4]Hárok1!$J$10</f>
        <v>0.34076410478321301</v>
      </c>
      <c r="G9" s="112">
        <f>[4]Hárok1!$I$10</f>
        <v>-1.169331276346039E-2</v>
      </c>
      <c r="H9" s="99">
        <f>[4]Hárok1!$K$10</f>
        <v>-3.0347658378289477</v>
      </c>
      <c r="I9" s="98"/>
      <c r="J9" s="98"/>
    </row>
    <row r="10" spans="1:10" x14ac:dyDescent="0.25">
      <c r="A10" s="9" t="s">
        <v>226</v>
      </c>
      <c r="B10" s="94">
        <v>0.16270000000000001</v>
      </c>
      <c r="C10" s="10">
        <v>0.18729000000000001</v>
      </c>
      <c r="D10" s="10">
        <f>[4]Hárok1!$E$11</f>
        <v>0.20636126870573543</v>
      </c>
      <c r="E10" s="112">
        <f>[4]Hárok1!$H$11</f>
        <v>1.9341244254259888E-2</v>
      </c>
      <c r="F10" s="99">
        <f>[4]Hárok1!$J$11</f>
        <v>0.63181557346962547</v>
      </c>
      <c r="G10" s="112">
        <f>[4]Hárok1!$I$11</f>
        <v>1.6018229535842136E-2</v>
      </c>
      <c r="H10" s="99">
        <f>[4]Hárok1!$K$11</f>
        <v>4.1572116269547879</v>
      </c>
      <c r="I10" s="116">
        <f>C10-B10</f>
        <v>2.4590000000000001E-2</v>
      </c>
      <c r="J10" s="116">
        <f>D10-C10</f>
        <v>1.9071268705735417E-2</v>
      </c>
    </row>
    <row r="11" spans="1:10" x14ac:dyDescent="0.25">
      <c r="A11" s="9" t="s">
        <v>227</v>
      </c>
      <c r="B11" s="94">
        <v>0.99550000000000005</v>
      </c>
      <c r="C11" s="10">
        <v>0.98963000000000001</v>
      </c>
      <c r="D11" s="10">
        <f>[4]Hárok1!$E$12</f>
        <v>0.99256754674143988</v>
      </c>
      <c r="E11" s="112">
        <f>[4]Hárok1!$H$12</f>
        <v>8.3939548613823529E-4</v>
      </c>
      <c r="F11" s="99">
        <f>[4]Hárok1!$J$12</f>
        <v>2.7420321747161469E-2</v>
      </c>
      <c r="G11" s="112">
        <f>[4]Hárok1!$I$12</f>
        <v>-4.7179815027885972E-4</v>
      </c>
      <c r="H11" s="99">
        <f>[4]Hárok1!$K$12</f>
        <v>-0.12244578912584062</v>
      </c>
      <c r="I11" s="98"/>
      <c r="J11" s="98"/>
    </row>
    <row r="12" spans="1:10" x14ac:dyDescent="0.25">
      <c r="A12" s="410" t="s">
        <v>296</v>
      </c>
      <c r="B12" s="410"/>
      <c r="C12" s="18"/>
      <c r="D12" s="18"/>
      <c r="E12" s="113">
        <f>SUM(E9:E11)</f>
        <v>3.061216764260357E-2</v>
      </c>
      <c r="F12" s="100">
        <f>SUM(F9:F11)</f>
        <v>0.99999999999999989</v>
      </c>
      <c r="G12" s="113">
        <f>SUM(G9:G11)</f>
        <v>3.8531186221028874E-3</v>
      </c>
      <c r="H12" s="100">
        <f>SUM(H9:H11)</f>
        <v>0.99999999999999956</v>
      </c>
      <c r="I12" s="98"/>
      <c r="J12" s="98"/>
    </row>
    <row r="13" spans="1:10" x14ac:dyDescent="0.25">
      <c r="A13" s="9" t="s">
        <v>228</v>
      </c>
      <c r="B13" s="94">
        <v>6.7799999999999999E-2</v>
      </c>
      <c r="C13" s="10">
        <v>6.6619999999999999E-2</v>
      </c>
      <c r="D13" s="10">
        <f>[5]Hárok1!$E$9</f>
        <v>6.6671503650565844E-2</v>
      </c>
      <c r="E13" s="112">
        <f>[5]Hárok1!$H$9</f>
        <v>-1.1342860905807634E-3</v>
      </c>
      <c r="F13" s="99">
        <f>[5]Hárok1!$J$9</f>
        <v>-0.20906248190693244</v>
      </c>
      <c r="G13" s="112">
        <f>[5]Hárok1!$I$9</f>
        <v>5.0777386254807766E-5</v>
      </c>
      <c r="H13" s="99">
        <f>[5]Hárok1!$K$9</f>
        <v>8.9007434133604908E-3</v>
      </c>
      <c r="I13" s="98"/>
      <c r="J13" s="98"/>
    </row>
    <row r="14" spans="1:10" x14ac:dyDescent="0.25">
      <c r="A14" s="9" t="s">
        <v>229</v>
      </c>
      <c r="B14" s="94">
        <v>0.30790000000000001</v>
      </c>
      <c r="C14" s="10">
        <v>0.31374999999999997</v>
      </c>
      <c r="D14" s="10">
        <f>[5]Hárok1!$E$10</f>
        <v>0.31947906678044335</v>
      </c>
      <c r="E14" s="112">
        <f>[5]Hárok1!$H$10</f>
        <v>5.8867245369008669E-3</v>
      </c>
      <c r="F14" s="99">
        <f>[5]Hárok1!$J$10</f>
        <v>1.0849936821113693</v>
      </c>
      <c r="G14" s="112">
        <f>[5]Hárok1!$I$10</f>
        <v>5.7282857549465493E-3</v>
      </c>
      <c r="H14" s="99">
        <f>[5]Hárok1!$K$10</f>
        <v>1.0041084321932721</v>
      </c>
      <c r="I14" s="98"/>
      <c r="J14" s="98"/>
    </row>
    <row r="15" spans="1:10" x14ac:dyDescent="0.25">
      <c r="A15" s="9" t="s">
        <v>230</v>
      </c>
      <c r="B15" s="94">
        <v>5.0000000000000001E-4</v>
      </c>
      <c r="C15" s="10">
        <v>1.1800000000000001E-3</v>
      </c>
      <c r="D15" s="10">
        <f>[5]Hárok1!$E$11</f>
        <v>1.1050816394027932E-3</v>
      </c>
      <c r="E15" s="112">
        <f>[5]Hárok1!$H$11</f>
        <v>6.7314571509681335E-4</v>
      </c>
      <c r="F15" s="99">
        <f>[5]Hárok1!$J$11</f>
        <v>0.12406879979556305</v>
      </c>
      <c r="G15" s="112">
        <f>[5]Hárok1!$I$11</f>
        <v>-7.4215366510066091E-5</v>
      </c>
      <c r="H15" s="99">
        <f>[5]Hárok1!$K$11</f>
        <v>-1.3009175606632579E-2</v>
      </c>
      <c r="I15" s="98"/>
      <c r="J15" s="98"/>
    </row>
    <row r="16" spans="1:10" x14ac:dyDescent="0.25">
      <c r="A16" s="410" t="s">
        <v>296</v>
      </c>
      <c r="B16" s="410"/>
      <c r="C16" s="18"/>
      <c r="D16" s="18"/>
      <c r="E16" s="114">
        <f>SUM(E13:E15)</f>
        <v>5.4255841614169169E-3</v>
      </c>
      <c r="F16" s="100">
        <f>SUM(F13:F15)</f>
        <v>0.99999999999999989</v>
      </c>
      <c r="G16" s="114">
        <f>SUM(G13:G15)</f>
        <v>5.704847774691291E-3</v>
      </c>
      <c r="H16" s="100">
        <f>SUM(H13:H15)</f>
        <v>1</v>
      </c>
      <c r="I16" s="98"/>
      <c r="J16" s="98"/>
    </row>
    <row r="17" spans="1:10" x14ac:dyDescent="0.25">
      <c r="A17" s="9" t="s">
        <v>231</v>
      </c>
      <c r="B17" s="94">
        <v>1.5722</v>
      </c>
      <c r="C17" s="10">
        <v>2.1565400000000001</v>
      </c>
      <c r="D17" s="10">
        <f>[6]Hárok1!$E$10</f>
        <v>2.0021728585923593</v>
      </c>
      <c r="E17" s="112">
        <f>[6]Hárok1!$H$10</f>
        <v>0.20616004490890916</v>
      </c>
      <c r="F17" s="99">
        <f>[6]Hárok1!$J$10</f>
        <v>2.8643536557732081</v>
      </c>
      <c r="G17" s="112">
        <f>[6]Hárok1!$I$10</f>
        <v>-5.016086827239858E-2</v>
      </c>
      <c r="H17" s="99">
        <f>[6]Hárok1!$K$10</f>
        <v>-3.0793532901387182</v>
      </c>
      <c r="I17" s="98"/>
      <c r="J17" s="98"/>
    </row>
    <row r="18" spans="1:10" x14ac:dyDescent="0.25">
      <c r="A18" s="9" t="s">
        <v>232</v>
      </c>
      <c r="B18" s="94">
        <v>0.38879999999999998</v>
      </c>
      <c r="C18" s="10">
        <v>0.31680000000000003</v>
      </c>
      <c r="D18" s="10">
        <f>[6]Hárok1!$E$11</f>
        <v>0.33309207246760675</v>
      </c>
      <c r="E18" s="112">
        <f>[6]Hárok1!$H$11</f>
        <v>-0.13418567662746941</v>
      </c>
      <c r="F18" s="99">
        <f>[6]Hárok1!$J$11</f>
        <v>-1.8643536557732081</v>
      </c>
      <c r="G18" s="112">
        <f>[6]Hárok1!$I$11</f>
        <v>3.3871451779320924E-2</v>
      </c>
      <c r="H18" s="99">
        <f>[6]Hárok1!$K$11</f>
        <v>2.0793532901387182</v>
      </c>
      <c r="I18" s="98"/>
      <c r="J18" s="98"/>
    </row>
    <row r="19" spans="1:10" x14ac:dyDescent="0.25">
      <c r="A19" s="410" t="s">
        <v>296</v>
      </c>
      <c r="B19" s="410"/>
      <c r="C19" s="18"/>
      <c r="D19" s="18"/>
      <c r="E19" s="115">
        <f>SUM(E17:E18)</f>
        <v>7.1974368281439743E-2</v>
      </c>
      <c r="F19" s="100">
        <f>SUM(F17:F18)</f>
        <v>1</v>
      </c>
      <c r="G19" s="115">
        <f>SUM(G17:G18)</f>
        <v>-1.6289416493077656E-2</v>
      </c>
      <c r="H19" s="100">
        <f>SUM(H17:H18)</f>
        <v>-1</v>
      </c>
      <c r="I19" s="98"/>
      <c r="J19" s="98"/>
    </row>
    <row r="20" spans="1:10" x14ac:dyDescent="0.25">
      <c r="A20" s="9" t="s">
        <v>265</v>
      </c>
      <c r="B20" s="95">
        <v>0.83730000000000004</v>
      </c>
      <c r="C20" s="11">
        <f>'Simulácia VZaS'!I74/'Simulácia VZaS'!I67</f>
        <v>0.81339872739414742</v>
      </c>
      <c r="D20" s="11">
        <f>'Simulácia VZaS'!J74/'Simulácia VZaS'!J67</f>
        <v>0.79363873129426454</v>
      </c>
      <c r="E20" s="116">
        <f>(C20-B20)*-1</f>
        <v>2.3901272605852619E-2</v>
      </c>
      <c r="F20" s="104"/>
      <c r="G20" s="116">
        <f>(D20-C20)*-1</f>
        <v>1.9759996099882882E-2</v>
      </c>
      <c r="H20" s="104"/>
      <c r="I20" s="98"/>
      <c r="J20" s="98"/>
    </row>
    <row r="21" spans="1:10" x14ac:dyDescent="0.25">
      <c r="A21" s="407" t="s">
        <v>221</v>
      </c>
      <c r="B21" s="407"/>
      <c r="C21" s="19"/>
      <c r="D21" s="19"/>
      <c r="E21" s="98"/>
      <c r="F21" s="98"/>
      <c r="G21" s="98"/>
      <c r="H21" s="98"/>
      <c r="I21" s="98"/>
      <c r="J21" s="98"/>
    </row>
    <row r="22" spans="1:10" x14ac:dyDescent="0.25">
      <c r="A22" s="9" t="s">
        <v>233</v>
      </c>
      <c r="B22" s="94">
        <f>'PR 2021'!C23</f>
        <v>0.33550000000000002</v>
      </c>
      <c r="C22" s="10">
        <f>'PR 2021'!D23</f>
        <v>0.35650429116406268</v>
      </c>
      <c r="D22" s="10">
        <f>'Simulácia VZaS'!J75/'Simulácia VZaS'!J67</f>
        <v>0.34873641876952421</v>
      </c>
      <c r="E22" s="112">
        <f>(C22-B22)*-1</f>
        <v>-2.1004291164062661E-2</v>
      </c>
      <c r="F22" s="99">
        <f>E22/E28</f>
        <v>-0.87879384125008586</v>
      </c>
      <c r="G22" s="112">
        <f>(D22-C22)*-1</f>
        <v>7.7678723945384665E-3</v>
      </c>
      <c r="H22" s="99">
        <f>G22/G28</f>
        <v>0.39342866649503</v>
      </c>
      <c r="I22" s="98"/>
      <c r="J22" s="112"/>
    </row>
    <row r="23" spans="1:10" x14ac:dyDescent="0.25">
      <c r="A23" s="9" t="s">
        <v>234</v>
      </c>
      <c r="B23" s="94">
        <f>'PR 2021'!C24</f>
        <v>0.19850000000000001</v>
      </c>
      <c r="C23" s="10">
        <f>'PR 2021'!D24</f>
        <v>0.19264949579811491</v>
      </c>
      <c r="D23" s="10">
        <f>'Simulácia VZaS'!J76/'Simulácia VZaS'!J67</f>
        <v>0.18845185572106113</v>
      </c>
      <c r="E23" s="112">
        <f t="shared" ref="E23:E27" si="1">(C23-B23)*-1</f>
        <v>5.8505042018850983E-3</v>
      </c>
      <c r="F23" s="99">
        <f>E23/E28</f>
        <v>0.24477793707321299</v>
      </c>
      <c r="G23" s="112">
        <f t="shared" ref="G23:G27" si="2">(D23-C23)*-1</f>
        <v>4.1976400770537825E-3</v>
      </c>
      <c r="H23" s="99">
        <f>G23/G28</f>
        <v>0.21260286653299074</v>
      </c>
      <c r="I23" s="98"/>
      <c r="J23" s="98"/>
    </row>
    <row r="24" spans="1:10" x14ac:dyDescent="0.25">
      <c r="A24" s="9" t="s">
        <v>235</v>
      </c>
      <c r="B24" s="94">
        <f>'PR 2021'!C25</f>
        <v>0.16259999999999999</v>
      </c>
      <c r="C24" s="10">
        <f>'PR 2021'!D25</f>
        <v>0.13766436232551413</v>
      </c>
      <c r="D24" s="10">
        <f>'Simulácia VZaS'!J78/'Simulácia VZaS'!J67</f>
        <v>0.1333445503101417</v>
      </c>
      <c r="E24" s="112">
        <f t="shared" si="1"/>
        <v>2.4935637674485867E-2</v>
      </c>
      <c r="F24" s="99">
        <f>E24/E28</f>
        <v>1.0432765688124899</v>
      </c>
      <c r="G24" s="112">
        <f t="shared" si="2"/>
        <v>4.3198120153724318E-3</v>
      </c>
      <c r="H24" s="99">
        <f>G24/G28</f>
        <v>0.21879065391343405</v>
      </c>
      <c r="I24" s="98"/>
      <c r="J24" s="98"/>
    </row>
    <row r="25" spans="1:10" x14ac:dyDescent="0.25">
      <c r="A25" s="9" t="s">
        <v>236</v>
      </c>
      <c r="B25" s="94">
        <f>'PR 2021'!C26</f>
        <v>0.12330000000000001</v>
      </c>
      <c r="C25" s="10">
        <f>'PR 2021'!D26</f>
        <v>0.10784531740444536</v>
      </c>
      <c r="D25" s="10">
        <f>'Simulácia VZaS'!J79/'Simulácia VZaS'!J67</f>
        <v>0.10509881364456511</v>
      </c>
      <c r="E25" s="112">
        <f t="shared" si="1"/>
        <v>1.5454682595554645E-2</v>
      </c>
      <c r="F25" s="99">
        <f>E25/E28</f>
        <v>0.64660500929855591</v>
      </c>
      <c r="G25" s="112">
        <f t="shared" si="2"/>
        <v>2.7465037598802533E-3</v>
      </c>
      <c r="H25" s="99">
        <f>G25/G28</f>
        <v>0.1391054405750799</v>
      </c>
      <c r="I25" s="98"/>
      <c r="J25" s="98"/>
    </row>
    <row r="26" spans="1:10" x14ac:dyDescent="0.25">
      <c r="A26" s="9" t="s">
        <v>237</v>
      </c>
      <c r="B26" s="94">
        <f>'PR 2021'!C27</f>
        <v>7.9000000000000008E-3</v>
      </c>
      <c r="C26" s="10">
        <f>'PR 2021'!D27</f>
        <v>8.4152469189242296E-3</v>
      </c>
      <c r="D26" s="10">
        <f>'Simulácia VZaS'!J84/'Simulácia VZaS'!J67</f>
        <v>8.1230462390529008E-3</v>
      </c>
      <c r="E26" s="112">
        <f t="shared" si="1"/>
        <v>-5.1524691892422883E-4</v>
      </c>
      <c r="F26" s="99">
        <f>E26/E28</f>
        <v>-2.1557300626664642E-2</v>
      </c>
      <c r="G26" s="112">
        <f t="shared" si="2"/>
        <v>2.9220067987132878E-4</v>
      </c>
      <c r="H26" s="99">
        <f>G26/G28</f>
        <v>1.4799435159561279E-2</v>
      </c>
      <c r="I26" s="98"/>
      <c r="J26" s="98"/>
    </row>
    <row r="27" spans="1:10" x14ac:dyDescent="0.25">
      <c r="A27" s="9" t="s">
        <v>238</v>
      </c>
      <c r="B27" s="94">
        <f>'PR 2021'!C28</f>
        <v>9.4999999999999998E-3</v>
      </c>
      <c r="C27" s="10">
        <f>'PR 2021'!D28</f>
        <v>1.0320013783086113E-2</v>
      </c>
      <c r="D27" s="10">
        <f>0.0099</f>
        <v>9.9000000000000008E-3</v>
      </c>
      <c r="E27" s="112">
        <f t="shared" si="1"/>
        <v>-8.2001378308611296E-4</v>
      </c>
      <c r="F27" s="99">
        <f>E27/E28</f>
        <v>-3.4308373307508307E-2</v>
      </c>
      <c r="G27" s="112">
        <f t="shared" si="2"/>
        <v>4.2001378308611191E-4</v>
      </c>
      <c r="H27" s="99">
        <f>G27/G28</f>
        <v>2.1272937323904118E-2</v>
      </c>
      <c r="I27" s="98"/>
      <c r="J27" s="98"/>
    </row>
    <row r="28" spans="1:10" x14ac:dyDescent="0.25">
      <c r="A28" s="18" t="s">
        <v>296</v>
      </c>
      <c r="B28" s="96">
        <v>0.83730000000000004</v>
      </c>
      <c r="C28" s="12">
        <f t="shared" ref="C28:H28" si="3">SUM(C22:C27)</f>
        <v>0.81339872739414754</v>
      </c>
      <c r="D28" s="12">
        <f t="shared" si="3"/>
        <v>0.79365468468434508</v>
      </c>
      <c r="E28" s="116">
        <f t="shared" si="3"/>
        <v>2.3901272605852605E-2</v>
      </c>
      <c r="F28" s="105">
        <f t="shared" si="3"/>
        <v>0.99999999999999967</v>
      </c>
      <c r="G28" s="116">
        <f t="shared" si="3"/>
        <v>1.9744042709802373E-2</v>
      </c>
      <c r="H28" s="105">
        <f t="shared" si="3"/>
        <v>1</v>
      </c>
      <c r="I28" s="98"/>
      <c r="J28" s="98"/>
    </row>
    <row r="29" spans="1:10" x14ac:dyDescent="0.25">
      <c r="A29" s="9" t="s">
        <v>240</v>
      </c>
      <c r="B29" s="10">
        <f>'Simulácia VZaS'!E4/[3]Hárok1!$C$19</f>
        <v>3.3449333863289341E-5</v>
      </c>
      <c r="C29" s="10">
        <f>'Simulácia VZaS'!I4/[3]Hárok1!$D$19</f>
        <v>0</v>
      </c>
      <c r="D29" s="10">
        <f>'Simulácia VZaS'!J4/[3]Hárok1!$E$19</f>
        <v>0</v>
      </c>
      <c r="E29" s="112">
        <f>C29-B29</f>
        <v>-3.3449333863289341E-5</v>
      </c>
      <c r="F29" s="99">
        <f>E29/E36</f>
        <v>-7.0383518358222083E-3</v>
      </c>
      <c r="G29" s="112">
        <f>D29-C29</f>
        <v>0</v>
      </c>
      <c r="H29" s="99">
        <f>G29/G36</f>
        <v>0</v>
      </c>
      <c r="I29" s="98"/>
      <c r="J29" s="98"/>
    </row>
    <row r="30" spans="1:10" x14ac:dyDescent="0.25">
      <c r="A30" s="9" t="s">
        <v>239</v>
      </c>
      <c r="B30" s="10">
        <f>'Simulácia VZaS'!E6/[3]Hárok1!$C$19</f>
        <v>6.7721563021028511E-2</v>
      </c>
      <c r="C30" s="10">
        <f>'Simulácia VZaS'!I6/[3]Hárok1!$D$19</f>
        <v>6.6620726264311037E-2</v>
      </c>
      <c r="D30" s="10">
        <f>'Simulácia VZaS'!J6/[3]Hárok1!$E$19</f>
        <v>6.6671503650565844E-2</v>
      </c>
      <c r="E30" s="112">
        <f t="shared" ref="E30:E35" si="4">C30-B30</f>
        <v>-1.1008367567174743E-3</v>
      </c>
      <c r="F30" s="99">
        <f>E30/E36</f>
        <v>-0.23163619458761533</v>
      </c>
      <c r="G30" s="112">
        <f t="shared" ref="G30:G35" si="5">D30-C30</f>
        <v>5.0777386254807766E-5</v>
      </c>
      <c r="H30" s="99">
        <f>G30/G36</f>
        <v>8.786439084355082E-3</v>
      </c>
      <c r="I30" s="98"/>
      <c r="J30" s="98"/>
    </row>
    <row r="31" spans="1:10" x14ac:dyDescent="0.25">
      <c r="A31" s="9" t="s">
        <v>241</v>
      </c>
      <c r="B31" s="10">
        <f>0</f>
        <v>0</v>
      </c>
      <c r="C31" s="10">
        <f>0</f>
        <v>0</v>
      </c>
      <c r="D31" s="10">
        <f>0</f>
        <v>0</v>
      </c>
      <c r="E31" s="112">
        <f t="shared" si="4"/>
        <v>0</v>
      </c>
      <c r="F31" s="99">
        <f>E31/E36</f>
        <v>0</v>
      </c>
      <c r="G31" s="112">
        <f t="shared" si="5"/>
        <v>0</v>
      </c>
      <c r="H31" s="99">
        <f>G31/G36</f>
        <v>0</v>
      </c>
      <c r="I31" s="98"/>
      <c r="J31" s="98"/>
    </row>
    <row r="32" spans="1:10" x14ac:dyDescent="0.25">
      <c r="A32" s="9" t="s">
        <v>242</v>
      </c>
      <c r="B32" s="10">
        <f>'Simulácia VZaS'!E13/[3]Hárok1!$C$19</f>
        <v>5.4616753128389761E-2</v>
      </c>
      <c r="C32" s="10">
        <f>'Simulácia VZaS'!I13/[3]Hárok1!$D$19</f>
        <v>7.0930668060710703E-2</v>
      </c>
      <c r="D32" s="10">
        <f>'Simulácia VZaS'!J13/[3]Hárok1!$E$19</f>
        <v>4.7222222222222221E-2</v>
      </c>
      <c r="E32" s="112">
        <f t="shared" si="4"/>
        <v>1.6313914932320941E-2</v>
      </c>
      <c r="F32" s="99">
        <f>E32/E36</f>
        <v>3.4327461821105745</v>
      </c>
      <c r="G32" s="112">
        <f t="shared" si="5"/>
        <v>-2.3708445838488482E-2</v>
      </c>
      <c r="H32" s="99">
        <f>G32/G36</f>
        <v>-4.1024721930205121</v>
      </c>
      <c r="I32" s="98"/>
      <c r="J32" s="98"/>
    </row>
    <row r="33" spans="1:10" x14ac:dyDescent="0.25">
      <c r="A33" s="9" t="s">
        <v>243</v>
      </c>
      <c r="B33" s="10">
        <f>'Simulácia VZaS'!E18/[3]Hárok1!$C$19</f>
        <v>2.792654665221665E-4</v>
      </c>
      <c r="C33" s="10">
        <f>'Simulácia VZaS'!I18/[3]Hárok1!$D$19</f>
        <v>1.6335891038578617E-3</v>
      </c>
      <c r="D33" s="10">
        <f>'Simulácia VZaS'!J18/[3]Hárok1!$E$19</f>
        <v>1.5068445582211577E-3</v>
      </c>
      <c r="E33" s="112">
        <f t="shared" si="4"/>
        <v>1.3543236373356952E-3</v>
      </c>
      <c r="F33" s="99">
        <f>E33/E36</f>
        <v>0.28497447208061449</v>
      </c>
      <c r="G33" s="112">
        <f t="shared" si="5"/>
        <v>-1.2674454563670404E-4</v>
      </c>
      <c r="H33" s="99">
        <f>G33/G36</f>
        <v>-2.1931676906778958E-2</v>
      </c>
      <c r="I33" s="98"/>
      <c r="J33" s="98"/>
    </row>
    <row r="34" spans="1:10" x14ac:dyDescent="0.25">
      <c r="A34" s="9" t="s">
        <v>244</v>
      </c>
      <c r="B34" s="10">
        <f>'Simulácia VZaS'!E21/[3]Hárok1!$C$19</f>
        <v>0.1882188111620462</v>
      </c>
      <c r="C34" s="10">
        <f>'Simulácia VZaS'!I21/[3]Hárok1!$D$19</f>
        <v>0.17884112138662009</v>
      </c>
      <c r="D34" s="10">
        <f>'Simulácia VZaS'!J21/[3]Hárok1!$E$19</f>
        <v>0.15833333333333335</v>
      </c>
      <c r="E34" s="112">
        <f t="shared" si="4"/>
        <v>-9.3776897754261068E-3</v>
      </c>
      <c r="F34" s="99">
        <f>E34/E36</f>
        <v>-1.9732375035151399</v>
      </c>
      <c r="G34" s="112">
        <f t="shared" si="5"/>
        <v>-2.0507788053286735E-2</v>
      </c>
      <c r="H34" s="99">
        <f>G34/G36</f>
        <v>-3.5486354020045252</v>
      </c>
      <c r="I34" s="98"/>
      <c r="J34" s="98"/>
    </row>
    <row r="35" spans="1:10" x14ac:dyDescent="0.25">
      <c r="A35" s="9" t="s">
        <v>245</v>
      </c>
      <c r="B35" s="10">
        <f>'Simulácia VZaS'!E29/[3]Hárok1!$C$19</f>
        <v>6.4749226731637799E-2</v>
      </c>
      <c r="C35" s="10">
        <f>'Simulácia VZaS'!I29/[3]Hárok1!$D$19</f>
        <v>6.2345402474308163E-2</v>
      </c>
      <c r="D35" s="10">
        <f>'Simulácia VZaS'!J29/[3]Hárok1!$E$19</f>
        <v>0.11241666666666666</v>
      </c>
      <c r="E35" s="112">
        <f t="shared" si="4"/>
        <v>-2.4038242573296356E-3</v>
      </c>
      <c r="F35" s="99">
        <f>E35/E36</f>
        <v>-0.50580860425261154</v>
      </c>
      <c r="G35" s="112">
        <f t="shared" si="5"/>
        <v>5.0071264192358501E-2</v>
      </c>
      <c r="H35" s="99">
        <f>G35/G36</f>
        <v>8.6642528328474597</v>
      </c>
      <c r="I35" s="98"/>
      <c r="J35" s="98"/>
    </row>
    <row r="36" spans="1:10" x14ac:dyDescent="0.25">
      <c r="A36" s="414" t="s">
        <v>296</v>
      </c>
      <c r="B36" s="414"/>
      <c r="C36" s="111"/>
      <c r="D36" s="111"/>
      <c r="E36" s="114">
        <f>SUM(E29:E35)</f>
        <v>4.7524384463201313E-3</v>
      </c>
      <c r="F36" s="106">
        <f>SUM(F29:F35)</f>
        <v>1</v>
      </c>
      <c r="G36" s="114">
        <f>SUM(G29:G35)</f>
        <v>5.7790631412013918E-3</v>
      </c>
      <c r="H36" s="106">
        <f>SUM(H29:H35)</f>
        <v>0.99999999999999822</v>
      </c>
      <c r="I36" s="98"/>
      <c r="J36" s="98"/>
    </row>
  </sheetData>
  <mergeCells count="9">
    <mergeCell ref="A21:B21"/>
    <mergeCell ref="A36:B36"/>
    <mergeCell ref="A2:B2"/>
    <mergeCell ref="A4:B4"/>
    <mergeCell ref="E4:H4"/>
    <mergeCell ref="A8:B8"/>
    <mergeCell ref="A12:B12"/>
    <mergeCell ref="A16:B16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11</vt:i4>
      </vt:variant>
    </vt:vector>
  </HeadingPairs>
  <TitlesOfParts>
    <vt:vector size="11" baseType="lpstr">
      <vt:lpstr>Stredné hodnoty</vt:lpstr>
      <vt:lpstr>Odvetvie</vt:lpstr>
      <vt:lpstr>Komparácia odvetvia a podniku</vt:lpstr>
      <vt:lpstr>Pavučinové grafy</vt:lpstr>
      <vt:lpstr>Súvaha</vt:lpstr>
      <vt:lpstr>VZaS</vt:lpstr>
      <vt:lpstr>Ukazovatele</vt:lpstr>
      <vt:lpstr>Pyramidálny rozklad</vt:lpstr>
      <vt:lpstr>PR 2021</vt:lpstr>
      <vt:lpstr>Simulácia VZaS</vt:lpstr>
      <vt:lpstr>PR - simulácia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Viktoria</dc:creator>
  <cp:lastModifiedBy>Zuzana</cp:lastModifiedBy>
  <dcterms:created xsi:type="dcterms:W3CDTF">2022-02-07T12:18:41Z</dcterms:created>
  <dcterms:modified xsi:type="dcterms:W3CDTF">2022-05-08T17:06:54Z</dcterms:modified>
</cp:coreProperties>
</file>